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ekern\Pictures\"/>
    </mc:Choice>
  </mc:AlternateContent>
  <xr:revisionPtr revIDLastSave="0" documentId="8_{0BD02D40-88C9-42B4-AE59-25DABA5623CF}" xr6:coauthVersionLast="47" xr6:coauthVersionMax="47" xr10:uidLastSave="{00000000-0000-0000-0000-000000000000}"/>
  <bookViews>
    <workbookView xWindow="-110" yWindow="-110" windowWidth="19420" windowHeight="10420" tabRatio="644" firstSheet="7" activeTab="10" xr2:uid="{00000000-000D-0000-FFFF-FFFF00000000}"/>
  </bookViews>
  <sheets>
    <sheet name="Center Information" sheetId="1" r:id="rId1"/>
    <sheet name="Activities" sheetId="2" r:id="rId2"/>
    <sheet name="Personnel" sheetId="4" r:id="rId3"/>
    <sheet name="Personnel Costs" sheetId="5" r:id="rId4"/>
    <sheet name="Capital Equipment" sheetId="6" r:id="rId5"/>
    <sheet name="Cap_EQ Costs" sheetId="7" r:id="rId6"/>
    <sheet name="Variable Costs" sheetId="8" r:id="rId7"/>
    <sheet name="Fixed Costs" sheetId="9" r:id="rId8"/>
    <sheet name="Market Summary" sheetId="11" r:id="rId9"/>
    <sheet name="Market Analysis" sheetId="12" r:id="rId10"/>
    <sheet name="Rate Proposal" sheetId="14" r:id="rId11"/>
    <sheet name="Cost Summary" sheetId="10" r:id="rId12"/>
    <sheet name="Budget Summary" sheetId="13" r:id="rId13"/>
    <sheet name="Prior Year Summary" sheetId="15" r:id="rId14"/>
    <sheet name="Rates" sheetId="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8" l="1"/>
  <c r="E4" i="7" l="1"/>
  <c r="C13" i="6"/>
  <c r="I22" i="15" l="1"/>
  <c r="J11" i="15"/>
  <c r="J38" i="15" l="1"/>
  <c r="J36" i="15"/>
  <c r="I27" i="15" l="1"/>
  <c r="F2" i="7" l="1"/>
  <c r="D2" i="6"/>
  <c r="G2" i="5"/>
  <c r="H2" i="5" s="1"/>
  <c r="D2" i="4" l="1"/>
  <c r="E2" i="4" s="1"/>
  <c r="N9" i="14" l="1"/>
  <c r="L9" i="14"/>
  <c r="J19" i="15" l="1"/>
  <c r="J39" i="15" s="1"/>
  <c r="I11" i="15"/>
  <c r="I19" i="15" s="1"/>
  <c r="G17" i="15"/>
  <c r="G7" i="15"/>
  <c r="G19" i="13"/>
  <c r="G10" i="13"/>
  <c r="B4" i="9"/>
  <c r="H8" i="8"/>
  <c r="G5" i="8"/>
  <c r="D8" i="4"/>
  <c r="E8" i="4"/>
  <c r="C8" i="4"/>
  <c r="B22" i="15" l="1"/>
  <c r="B10" i="15"/>
  <c r="B2" i="15"/>
  <c r="B2" i="2" l="1"/>
  <c r="G28" i="15"/>
  <c r="I2" i="15"/>
  <c r="M4" i="15"/>
  <c r="L2" i="15"/>
  <c r="I6" i="14"/>
  <c r="W6" i="14" s="1"/>
  <c r="L4" i="15"/>
  <c r="J29" i="15"/>
  <c r="J22" i="15"/>
  <c r="J40" i="15"/>
  <c r="G2" i="13" s="1"/>
  <c r="J8" i="15"/>
  <c r="J26" i="15" s="1"/>
  <c r="I8" i="15"/>
  <c r="I26" i="15" s="1"/>
  <c r="I29" i="15" s="1"/>
  <c r="F25" i="15"/>
  <c r="F24" i="15"/>
  <c r="F23" i="15"/>
  <c r="E14" i="1"/>
  <c r="D14" i="1"/>
  <c r="C14" i="1"/>
  <c r="B14" i="1"/>
  <c r="P6" i="14"/>
  <c r="Y9" i="14"/>
  <c r="G9" i="13" s="1"/>
  <c r="W9" i="14"/>
  <c r="G7" i="13" s="1"/>
  <c r="X9" i="14"/>
  <c r="G5" i="15" s="1"/>
  <c r="U9" i="14"/>
  <c r="S9" i="14"/>
  <c r="Q9" i="14"/>
  <c r="C9" i="14"/>
  <c r="B9" i="14"/>
  <c r="F25" i="13"/>
  <c r="F26" i="13"/>
  <c r="F24" i="13"/>
  <c r="G29" i="13"/>
  <c r="G6" i="13"/>
  <c r="D7" i="10"/>
  <c r="B7" i="10"/>
  <c r="V9" i="9"/>
  <c r="T9" i="9"/>
  <c r="R9" i="9"/>
  <c r="P9" i="9"/>
  <c r="N9" i="9"/>
  <c r="L9" i="9"/>
  <c r="J9" i="9"/>
  <c r="H9" i="9"/>
  <c r="F9" i="9"/>
  <c r="V8" i="9"/>
  <c r="T8" i="9"/>
  <c r="R8" i="9"/>
  <c r="P8" i="9"/>
  <c r="N8" i="9"/>
  <c r="L8" i="9"/>
  <c r="J8" i="9"/>
  <c r="H8" i="9"/>
  <c r="F8" i="9"/>
  <c r="C8" i="9"/>
  <c r="K5" i="10" s="1"/>
  <c r="B9" i="9"/>
  <c r="I5" i="9"/>
  <c r="M5" i="9"/>
  <c r="S5" i="9"/>
  <c r="E5" i="9"/>
  <c r="U4" i="9"/>
  <c r="U5" i="9" s="1"/>
  <c r="S4" i="9"/>
  <c r="Q4" i="9"/>
  <c r="Q5" i="9" s="1"/>
  <c r="O4" i="9"/>
  <c r="O5" i="9" s="1"/>
  <c r="M4" i="9"/>
  <c r="K4" i="9"/>
  <c r="K5" i="9" s="1"/>
  <c r="I4" i="9"/>
  <c r="G4" i="9"/>
  <c r="G5" i="9" s="1"/>
  <c r="E4" i="9"/>
  <c r="W8" i="8"/>
  <c r="U8" i="8"/>
  <c r="S8" i="8"/>
  <c r="Q8" i="8"/>
  <c r="M8" i="8"/>
  <c r="K8" i="8"/>
  <c r="C8" i="8"/>
  <c r="G7" i="10" s="1"/>
  <c r="G5" i="10" s="1"/>
  <c r="B8" i="8"/>
  <c r="N5" i="8"/>
  <c r="P5" i="8"/>
  <c r="T5" i="8"/>
  <c r="J5" i="8"/>
  <c r="V4" i="8"/>
  <c r="V5" i="8" s="1"/>
  <c r="T4" i="8"/>
  <c r="R4" i="8"/>
  <c r="R5" i="8" s="1"/>
  <c r="P4" i="8"/>
  <c r="N4" i="8"/>
  <c r="L4" i="8"/>
  <c r="L5" i="8" s="1"/>
  <c r="J4" i="8"/>
  <c r="D4" i="8"/>
  <c r="B8" i="7"/>
  <c r="F7" i="7"/>
  <c r="F5" i="7" s="1"/>
  <c r="E7" i="7"/>
  <c r="E5" i="7" s="1"/>
  <c r="F4" i="7"/>
  <c r="F3" i="7"/>
  <c r="E3" i="7"/>
  <c r="D13" i="6"/>
  <c r="D11" i="5"/>
  <c r="L5" i="2" s="1"/>
  <c r="I5" i="2" s="1"/>
  <c r="D8" i="8" s="1"/>
  <c r="B11" i="5"/>
  <c r="G8" i="5"/>
  <c r="G6" i="5" s="1"/>
  <c r="H8" i="5"/>
  <c r="H6" i="5" s="1"/>
  <c r="F8" i="5"/>
  <c r="F6" i="5" s="1"/>
  <c r="G3" i="5"/>
  <c r="H3" i="5"/>
  <c r="F3" i="5"/>
  <c r="D14" i="4"/>
  <c r="G4" i="5" s="1"/>
  <c r="E14" i="4"/>
  <c r="H4" i="5" s="1"/>
  <c r="C14" i="4"/>
  <c r="F4" i="5" s="1"/>
  <c r="D9" i="4"/>
  <c r="D13" i="4" s="1"/>
  <c r="E9" i="4"/>
  <c r="E13" i="4" s="1"/>
  <c r="C9" i="4"/>
  <c r="C13" i="4" s="1"/>
  <c r="F5" i="5" s="1"/>
  <c r="G5" i="2"/>
  <c r="B5" i="11" s="1"/>
  <c r="G6" i="15" l="1"/>
  <c r="G8" i="13"/>
  <c r="Z9" i="14"/>
  <c r="G4" i="15"/>
  <c r="C7" i="10"/>
  <c r="S5" i="2"/>
  <c r="J5" i="11"/>
  <c r="E5" i="11"/>
  <c r="H5" i="11"/>
  <c r="F5" i="11"/>
  <c r="G5" i="11"/>
  <c r="C8" i="7"/>
  <c r="N7" i="10" s="1"/>
  <c r="N5" i="10" s="1"/>
  <c r="H5" i="5"/>
  <c r="E11" i="4"/>
  <c r="E12" i="4" s="1"/>
  <c r="G5" i="5"/>
  <c r="D11" i="4"/>
  <c r="D12" i="4"/>
  <c r="C11" i="4"/>
  <c r="C12" i="4" s="1"/>
  <c r="G16" i="15"/>
  <c r="G18" i="13"/>
  <c r="D9" i="5"/>
  <c r="E8" i="8"/>
  <c r="G8" i="15"/>
  <c r="G11" i="13"/>
  <c r="C9" i="9"/>
  <c r="H7" i="10" s="1"/>
  <c r="H5" i="10" s="1"/>
  <c r="G17" i="13" l="1"/>
  <c r="G28" i="13" s="1"/>
  <c r="G14" i="15"/>
  <c r="G27" i="15" s="1"/>
  <c r="G15" i="13"/>
  <c r="G12" i="15"/>
  <c r="G13" i="15"/>
  <c r="G16" i="13"/>
  <c r="C11" i="5" l="1"/>
  <c r="F7" i="10" s="1"/>
  <c r="C9" i="5" l="1"/>
  <c r="J5" i="10" s="1"/>
  <c r="I7" i="10"/>
  <c r="F5" i="10"/>
  <c r="I5" i="10" l="1"/>
  <c r="K7" i="10" s="1"/>
  <c r="G11" i="15"/>
  <c r="G23" i="15"/>
  <c r="G14" i="13"/>
  <c r="G24" i="13"/>
  <c r="J7" i="10" l="1"/>
  <c r="L7" i="10" s="1"/>
  <c r="O7" i="10" s="1"/>
  <c r="G24" i="15"/>
  <c r="G25" i="13"/>
  <c r="G18" i="15"/>
  <c r="G15" i="15"/>
  <c r="G19" i="15" s="1"/>
  <c r="G20" i="13"/>
  <c r="G21" i="13"/>
  <c r="G25" i="15" l="1"/>
  <c r="G22" i="15" s="1"/>
  <c r="G26" i="15" s="1"/>
  <c r="G29" i="15" s="1"/>
  <c r="G26" i="13"/>
  <c r="G23" i="13" s="1"/>
  <c r="G27" i="13" s="1"/>
  <c r="G30" i="13" s="1"/>
  <c r="O5" i="10"/>
  <c r="P7" i="10"/>
  <c r="L5" i="10"/>
  <c r="Q7" i="10"/>
  <c r="R7" i="10" s="1"/>
  <c r="E9" i="14" l="1"/>
  <c r="D9" i="14"/>
  <c r="J9" i="14" s="1"/>
  <c r="R5" i="10"/>
  <c r="S7" i="10"/>
  <c r="Q5" i="10"/>
  <c r="F9" i="14" l="1"/>
  <c r="G9" i="14"/>
</calcChain>
</file>

<file path=xl/sharedStrings.xml><?xml version="1.0" encoding="utf-8"?>
<sst xmlns="http://schemas.openxmlformats.org/spreadsheetml/2006/main" count="335" uniqueCount="219">
  <si>
    <t>Recharge Center Cost Analysis</t>
  </si>
  <si>
    <t>General Information</t>
  </si>
  <si>
    <t>Center Name:</t>
  </si>
  <si>
    <t>Effective Fiscal Year:</t>
  </si>
  <si>
    <t>General Description of Services:</t>
  </si>
  <si>
    <t>Contact Information</t>
  </si>
  <si>
    <t>Responsible Unit:</t>
  </si>
  <si>
    <t>Center Lead Staff:</t>
  </si>
  <si>
    <t>Center Lead Email:</t>
  </si>
  <si>
    <t>Date of Submission:</t>
  </si>
  <si>
    <t>Unit Coordinator:</t>
  </si>
  <si>
    <t>Unit Coordinator Email:</t>
  </si>
  <si>
    <t>Approvals</t>
  </si>
  <si>
    <t>VP/Dean/Director Authorization:</t>
  </si>
  <si>
    <t>ORSPA Authorization:</t>
  </si>
  <si>
    <t>Review Date:</t>
  </si>
  <si>
    <t>Approval Date:</t>
  </si>
  <si>
    <t>Template Version: JUL-19</t>
  </si>
  <si>
    <t xml:space="preserve">Finalized Rates </t>
  </si>
  <si>
    <t>Employee Category</t>
  </si>
  <si>
    <t>FY 2020</t>
  </si>
  <si>
    <t>FY2021</t>
  </si>
  <si>
    <t>FY2022</t>
  </si>
  <si>
    <t>FY2023</t>
  </si>
  <si>
    <t>FY2024</t>
  </si>
  <si>
    <t>FY2025</t>
  </si>
  <si>
    <t>Select Employee Category</t>
  </si>
  <si>
    <t>Faculty</t>
  </si>
  <si>
    <t>Staff</t>
  </si>
  <si>
    <t>Postdoctoral Associate</t>
  </si>
  <si>
    <t>RA/TA</t>
  </si>
  <si>
    <t>Student (Grad or Undergrad)/Hourly Wage</t>
  </si>
  <si>
    <t>Non-Benefits Eligible</t>
  </si>
  <si>
    <t>Equipment Options</t>
  </si>
  <si>
    <t>No</t>
  </si>
  <si>
    <t>Current</t>
  </si>
  <si>
    <t>Planned</t>
  </si>
  <si>
    <t>Unit Base Options</t>
  </si>
  <si>
    <t>Hour</t>
  </si>
  <si>
    <t>Run</t>
  </si>
  <si>
    <t>Sample</t>
  </si>
  <si>
    <t>Unit</t>
  </si>
  <si>
    <t>Test</t>
  </si>
  <si>
    <t>Day</t>
  </si>
  <si>
    <t>Scan</t>
  </si>
  <si>
    <t>Yes/No Options</t>
  </si>
  <si>
    <t>Yes</t>
  </si>
  <si>
    <t>Personnel Hours</t>
  </si>
  <si>
    <t>Full Year</t>
  </si>
  <si>
    <t>Academic Year</t>
  </si>
  <si>
    <t>9-Month Year (75%)</t>
  </si>
  <si>
    <t>Internal Charges</t>
  </si>
  <si>
    <t>FY18</t>
  </si>
  <si>
    <t>FY19</t>
  </si>
  <si>
    <t>FY20</t>
  </si>
  <si>
    <t>Administrative Service Charge (ASC)</t>
  </si>
  <si>
    <t>Risk Management Insurance Assessment</t>
  </si>
  <si>
    <t>Technology Fee (Netcomm)</t>
  </si>
  <si>
    <t>Market Analysis- Category</t>
  </si>
  <si>
    <t>Industry</t>
  </si>
  <si>
    <t>University Internal Rate</t>
  </si>
  <si>
    <t>University External Rate: Non-Profit</t>
  </si>
  <si>
    <t>University External Rate: For-Profit</t>
  </si>
  <si>
    <t>Activity #</t>
  </si>
  <si>
    <t>Activity Name</t>
  </si>
  <si>
    <t>Short Description</t>
  </si>
  <si>
    <t>Unit Base</t>
  </si>
  <si>
    <t>Involves Direct Labor?</t>
  </si>
  <si>
    <t>Combo for Market</t>
  </si>
  <si>
    <t>Projected Totals</t>
  </si>
  <si>
    <t>Anticipated Unit Levels</t>
  </si>
  <si>
    <t>Full Capacity</t>
  </si>
  <si>
    <t>Direct Labor Units</t>
  </si>
  <si>
    <t>Internal Forecast</t>
  </si>
  <si>
    <t>ASU Standard Rate</t>
  </si>
  <si>
    <t>External Forecast</t>
  </si>
  <si>
    <t>Non-Profit Rate</t>
  </si>
  <si>
    <t>Notes</t>
  </si>
  <si>
    <t>Fiscal Year Projections</t>
  </si>
  <si>
    <t>Employee Information</t>
  </si>
  <si>
    <t>Name</t>
  </si>
  <si>
    <t>ASU Position Number</t>
  </si>
  <si>
    <t>% FTE earned this position (ASU)</t>
  </si>
  <si>
    <t>Base Salary associated with % FTE</t>
  </si>
  <si>
    <t>Benefits %</t>
  </si>
  <si>
    <t>% Employee Effort on Recharge Center</t>
  </si>
  <si>
    <t>Total Cost on Recharge Center</t>
  </si>
  <si>
    <t>Salary/Wages on Recharge Center</t>
  </si>
  <si>
    <t>ERE on Recharge Center</t>
  </si>
  <si>
    <t>Allocable Direct Labor Hours</t>
  </si>
  <si>
    <t>Total Employee Cost by FTE</t>
  </si>
  <si>
    <t>Hours</t>
  </si>
  <si>
    <t>Cost</t>
  </si>
  <si>
    <t>Allocation Notes</t>
  </si>
  <si>
    <t>Labor Hours per Activity</t>
  </si>
  <si>
    <t>Total Activity Cost</t>
  </si>
  <si>
    <t>Activity</t>
  </si>
  <si>
    <t>Center Management</t>
  </si>
  <si>
    <t>Capital Asset Information</t>
  </si>
  <si>
    <t>Description/ Equipment Name</t>
  </si>
  <si>
    <t>ASU Prop. Control No./ Asset No.</t>
  </si>
  <si>
    <t>Location (Bldg &amp; Room)</t>
  </si>
  <si>
    <t>ASU Acquisition Date</t>
  </si>
  <si>
    <t>Depr Start Date (Service Start Date)</t>
  </si>
  <si>
    <t>Depr End Date</t>
  </si>
  <si>
    <t>Total Acquisition Cost at Start Date</t>
  </si>
  <si>
    <t>Useful Life in Years</t>
  </si>
  <si>
    <t>Depreciation Costs Budgeted to Center?</t>
  </si>
  <si>
    <t>% Equipment Usage for Center Activities</t>
  </si>
  <si>
    <t>Budgeted Depreciated Cost</t>
  </si>
  <si>
    <t>Total</t>
  </si>
  <si>
    <t>Services</t>
  </si>
  <si>
    <t>Materials &amp; Supplies</t>
  </si>
  <si>
    <t>Non-Capital Equipment</t>
  </si>
  <si>
    <t>Communications</t>
  </si>
  <si>
    <t>Rentals/Licenses</t>
  </si>
  <si>
    <t>Miscellaneous</t>
  </si>
  <si>
    <t>In-State Travel</t>
  </si>
  <si>
    <t>Total Variable Cost Budget</t>
  </si>
  <si>
    <t>Total Variable</t>
  </si>
  <si>
    <t>Variable Cost per Unit</t>
  </si>
  <si>
    <t>%</t>
  </si>
  <si>
    <t>Out-of-State Travel</t>
  </si>
  <si>
    <t>Foreign Travel</t>
  </si>
  <si>
    <t>Total Fixed Cost Budget</t>
  </si>
  <si>
    <t>Total Fixed</t>
  </si>
  <si>
    <t>Anticipated Unit Level</t>
  </si>
  <si>
    <t>Direct Costs</t>
  </si>
  <si>
    <t>Personnel Costs Assigned to Activity</t>
  </si>
  <si>
    <t>Variable Costs</t>
  </si>
  <si>
    <t>Fixed Costs</t>
  </si>
  <si>
    <t>Subtotal</t>
  </si>
  <si>
    <t>Other Fixed Costs Assigned to Center Management</t>
  </si>
  <si>
    <t>Personnel Assigned to Center Management</t>
  </si>
  <si>
    <t>Direct Cost Total</t>
  </si>
  <si>
    <t>Overhead</t>
  </si>
  <si>
    <t>Internal Rate Costs</t>
  </si>
  <si>
    <t>Equipment Depreciation</t>
  </si>
  <si>
    <t>Total Cost</t>
  </si>
  <si>
    <t>Unit Cost</t>
  </si>
  <si>
    <t>External Rate Costs</t>
  </si>
  <si>
    <t>Service fee</t>
  </si>
  <si>
    <t>Activtiy</t>
  </si>
  <si>
    <t>Service Provider</t>
  </si>
  <si>
    <t>Category</t>
  </si>
  <si>
    <t>Price</t>
  </si>
  <si>
    <t xml:space="preserve">1: - </t>
  </si>
  <si>
    <t>Comparable services offered?</t>
  </si>
  <si>
    <t>Internal</t>
  </si>
  <si>
    <t>External: Non-Profit</t>
  </si>
  <si>
    <t>External: For-Profit</t>
  </si>
  <si>
    <t>University</t>
  </si>
  <si>
    <t>Market Median Price</t>
  </si>
  <si>
    <t>Cash Reserve Over/Under from Prior Year</t>
  </si>
  <si>
    <t>Cash Reserve to be Applied to New Budget</t>
  </si>
  <si>
    <t>Revenue</t>
  </si>
  <si>
    <t>Sales and Services (Proposed Rates for Effective FY)</t>
  </si>
  <si>
    <t>ASU Standard</t>
  </si>
  <si>
    <t>Non-Profit</t>
  </si>
  <si>
    <t>For-Profit</t>
  </si>
  <si>
    <t>Inventory and Materials Resale</t>
  </si>
  <si>
    <t>Total Revenue</t>
  </si>
  <si>
    <t>Expenses</t>
  </si>
  <si>
    <t>Personnel</t>
  </si>
  <si>
    <t>Salary/Wages</t>
  </si>
  <si>
    <t>ERE</t>
  </si>
  <si>
    <t>Depreciation</t>
  </si>
  <si>
    <t>Cost of Inventory and Materials Resale</t>
  </si>
  <si>
    <t>Total Direct Expenses</t>
  </si>
  <si>
    <t>Add-back Depreciation Expense</t>
  </si>
  <si>
    <t>Other Adjustments (Describe Below)</t>
  </si>
  <si>
    <t>Other Adjustment Total Costs</t>
  </si>
  <si>
    <t>Net Income/ (Subsidy)</t>
  </si>
  <si>
    <t>External</t>
  </si>
  <si>
    <t>Max Rate</t>
  </si>
  <si>
    <t>Min Rate</t>
  </si>
  <si>
    <t>Standard-ASU</t>
  </si>
  <si>
    <t>Subsidy per Unit/Year</t>
  </si>
  <si>
    <t>Proposed Rates</t>
  </si>
  <si>
    <t>Standard-ASU Rate Increase</t>
  </si>
  <si>
    <t>Standard-ASU Rate</t>
  </si>
  <si>
    <t>Non-Profit Rate Increase</t>
  </si>
  <si>
    <t>For-Profit Rate</t>
  </si>
  <si>
    <t>For-Profit Rate Increase</t>
  </si>
  <si>
    <t>Total Based on Forecasted Volume</t>
  </si>
  <si>
    <t>Internal: Standard</t>
  </si>
  <si>
    <t>Projected Revenue</t>
  </si>
  <si>
    <t>Revenue Actuals</t>
  </si>
  <si>
    <t>Projected Expenses</t>
  </si>
  <si>
    <t>Expenses Actuals</t>
  </si>
  <si>
    <t>Center Management Costs</t>
  </si>
  <si>
    <t>Projected Internal Charges</t>
  </si>
  <si>
    <t>Internal Charges Actuals</t>
  </si>
  <si>
    <t>Activities</t>
  </si>
  <si>
    <t>Anticipated Units</t>
  </si>
  <si>
    <t>Actual Units Sold</t>
  </si>
  <si>
    <t>Workday Account Totals</t>
  </si>
  <si>
    <t>Base</t>
  </si>
  <si>
    <t>Premium</t>
  </si>
  <si>
    <t>Hierarchy</t>
  </si>
  <si>
    <t>Reference ID</t>
  </si>
  <si>
    <t>Totals</t>
  </si>
  <si>
    <t>Subsidy Information</t>
  </si>
  <si>
    <t>Total Subsidized Expenses</t>
  </si>
  <si>
    <t>Account Bearing Expenditures</t>
  </si>
  <si>
    <t>Federal Compliance Check</t>
  </si>
  <si>
    <t>Recharge Account(s) Balance</t>
  </si>
  <si>
    <t>Imputed Revenue</t>
  </si>
  <si>
    <t>Adjusted Balance</t>
  </si>
  <si>
    <t>-Cash Reserve Limit</t>
  </si>
  <si>
    <r>
      <t xml:space="preserve">Adjusted Net Income/ </t>
    </r>
    <r>
      <rPr>
        <sz val="11"/>
        <color rgb="FFFF0000"/>
        <rFont val="Calibri"/>
        <family val="2"/>
        <scheme val="minor"/>
      </rPr>
      <t>(Subsidy)</t>
    </r>
  </si>
  <si>
    <r>
      <t xml:space="preserve">Adjusted Net Income/ </t>
    </r>
    <r>
      <rPr>
        <u/>
        <sz val="11"/>
        <color rgb="FFFF0000"/>
        <rFont val="Calibri"/>
        <family val="2"/>
        <scheme val="minor"/>
      </rPr>
      <t>(Subsidy)</t>
    </r>
  </si>
  <si>
    <r>
      <t>Over*</t>
    </r>
    <r>
      <rPr>
        <b/>
        <sz val="11"/>
        <color rgb="FFFF0000"/>
        <rFont val="Calibri"/>
        <family val="2"/>
        <scheme val="minor"/>
      </rPr>
      <t>(or Under)</t>
    </r>
  </si>
  <si>
    <t>Based on 'Budget Summary' Tab</t>
  </si>
  <si>
    <t>Direct Cost of Sales</t>
  </si>
  <si>
    <r>
      <t xml:space="preserve">Workday </t>
    </r>
    <r>
      <rPr>
        <b/>
        <sz val="11"/>
        <color theme="1"/>
        <rFont val="Calibri"/>
        <family val="2"/>
        <scheme val="minor"/>
      </rPr>
      <t xml:space="preserve">Base </t>
    </r>
    <r>
      <rPr>
        <sz val="11"/>
        <color theme="1"/>
        <rFont val="Calibri"/>
        <family val="2"/>
        <scheme val="minor"/>
      </rPr>
      <t>Account No:</t>
    </r>
  </si>
  <si>
    <r>
      <t xml:space="preserve">Wokday </t>
    </r>
    <r>
      <rPr>
        <b/>
        <sz val="11"/>
        <color theme="1"/>
        <rFont val="Calibri"/>
        <family val="2"/>
        <scheme val="minor"/>
      </rPr>
      <t>Premium</t>
    </r>
    <r>
      <rPr>
        <sz val="11"/>
        <color theme="1"/>
        <rFont val="Calibri"/>
        <family val="2"/>
        <scheme val="minor"/>
      </rPr>
      <t xml:space="preserve"> Account No:</t>
    </r>
  </si>
  <si>
    <t>Non-Direct Labor Units</t>
  </si>
  <si>
    <t>Total Depreciable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</si>
</sst>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0" xfId="0" applyNumberFormat="1"/>
    <xf numFmtId="9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10" fontId="0" fillId="0" borderId="10" xfId="1" applyNumberFormat="1" applyFont="1" applyBorder="1"/>
    <xf numFmtId="0" fontId="0" fillId="0" borderId="0" xfId="0" applyAlignment="1">
      <alignment horizontal="left"/>
    </xf>
    <xf numFmtId="49" fontId="0" fillId="0" borderId="1" xfId="0" applyNumberFormat="1" applyBorder="1"/>
    <xf numFmtId="0" fontId="0" fillId="2" borderId="1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0" fillId="2" borderId="1" xfId="1" applyFont="1" applyFill="1" applyBorder="1"/>
    <xf numFmtId="44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9" fontId="0" fillId="4" borderId="1" xfId="1" applyFont="1" applyFill="1" applyBorder="1" applyAlignment="1">
      <alignment horizontal="center"/>
    </xf>
    <xf numFmtId="44" fontId="0" fillId="2" borderId="10" xfId="0" applyNumberFormat="1" applyFill="1" applyBorder="1"/>
    <xf numFmtId="0" fontId="0" fillId="3" borderId="10" xfId="0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0" fontId="2" fillId="3" borderId="10" xfId="0" applyFont="1" applyFill="1" applyBorder="1"/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44" fontId="0" fillId="2" borderId="9" xfId="0" applyNumberFormat="1" applyFill="1" applyBorder="1"/>
    <xf numFmtId="0" fontId="2" fillId="3" borderId="9" xfId="0" applyFont="1" applyFill="1" applyBorder="1" applyAlignment="1">
      <alignment horizontal="center"/>
    </xf>
    <xf numFmtId="10" fontId="0" fillId="0" borderId="1" xfId="1" applyNumberFormat="1" applyFont="1" applyBorder="1"/>
    <xf numFmtId="10" fontId="0" fillId="0" borderId="1" xfId="0" applyNumberFormat="1" applyBorder="1"/>
    <xf numFmtId="164" fontId="0" fillId="5" borderId="1" xfId="1" applyNumberFormat="1" applyFont="1" applyFill="1" applyBorder="1"/>
    <xf numFmtId="10" fontId="0" fillId="5" borderId="1" xfId="1" applyNumberFormat="1" applyFont="1" applyFill="1" applyBorder="1"/>
    <xf numFmtId="164" fontId="0" fillId="6" borderId="1" xfId="1" applyNumberFormat="1" applyFont="1" applyFill="1" applyBorder="1"/>
    <xf numFmtId="10" fontId="0" fillId="6" borderId="1" xfId="1" applyNumberFormat="1" applyFont="1" applyFill="1" applyBorder="1"/>
    <xf numFmtId="0" fontId="0" fillId="0" borderId="1" xfId="0" applyBorder="1" applyAlignment="1">
      <alignment horizontal="left"/>
    </xf>
    <xf numFmtId="44" fontId="0" fillId="2" borderId="1" xfId="0" applyNumberFormat="1" applyFill="1" applyBorder="1" applyAlignment="1">
      <alignment horizontal="center"/>
    </xf>
    <xf numFmtId="0" fontId="2" fillId="0" borderId="1" xfId="0" applyFont="1" applyBorder="1"/>
    <xf numFmtId="44" fontId="0" fillId="0" borderId="2" xfId="0" applyNumberFormat="1" applyBorder="1"/>
    <xf numFmtId="0" fontId="2" fillId="4" borderId="2" xfId="0" applyFont="1" applyFill="1" applyBorder="1"/>
    <xf numFmtId="44" fontId="0" fillId="0" borderId="3" xfId="0" applyNumberFormat="1" applyBorder="1"/>
    <xf numFmtId="44" fontId="2" fillId="2" borderId="1" xfId="0" applyNumberFormat="1" applyFont="1" applyFill="1" applyBorder="1"/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wrapText="1"/>
    </xf>
    <xf numFmtId="0" fontId="8" fillId="0" borderId="1" xfId="2" applyBorder="1" applyAlignment="1">
      <alignment wrapText="1"/>
    </xf>
    <xf numFmtId="10" fontId="0" fillId="2" borderId="1" xfId="1" applyNumberFormat="1" applyFont="1" applyFill="1" applyBorder="1"/>
    <xf numFmtId="44" fontId="0" fillId="8" borderId="13" xfId="0" applyNumberFormat="1" applyFill="1" applyBorder="1"/>
    <xf numFmtId="44" fontId="0" fillId="8" borderId="14" xfId="0" applyNumberFormat="1" applyFill="1" applyBorder="1"/>
    <xf numFmtId="44" fontId="0" fillId="8" borderId="1" xfId="0" applyNumberFormat="1" applyFill="1" applyBorder="1"/>
    <xf numFmtId="44" fontId="2" fillId="8" borderId="1" xfId="0" applyNumberFormat="1" applyFont="1" applyFill="1" applyBorder="1"/>
    <xf numFmtId="0" fontId="0" fillId="8" borderId="1" xfId="0" applyFill="1" applyBorder="1"/>
    <xf numFmtId="44" fontId="0" fillId="8" borderId="10" xfId="0" applyNumberFormat="1" applyFill="1" applyBorder="1"/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0" borderId="2" xfId="2" applyBorder="1" applyAlignment="1">
      <alignment horizontal="center" wrapText="1"/>
    </xf>
    <xf numFmtId="0" fontId="8" fillId="0" borderId="3" xfId="2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showGridLines="0" workbookViewId="0">
      <selection activeCell="C7" sqref="C7"/>
    </sheetView>
  </sheetViews>
  <sheetFormatPr defaultRowHeight="14.5" x14ac:dyDescent="0.35"/>
  <cols>
    <col min="2" max="2" width="27.1796875" customWidth="1"/>
    <col min="3" max="3" width="37" customWidth="1"/>
    <col min="4" max="4" width="20.1796875" customWidth="1"/>
    <col min="5" max="5" width="19.6328125" customWidth="1"/>
    <col min="6" max="6" width="27.1796875" customWidth="1"/>
    <col min="7" max="7" width="17.08984375" customWidth="1"/>
  </cols>
  <sheetData>
    <row r="2" spans="2:7" x14ac:dyDescent="0.35">
      <c r="B2" s="57" t="s">
        <v>0</v>
      </c>
      <c r="C2" s="57"/>
      <c r="D2" s="57"/>
      <c r="E2" s="57"/>
      <c r="F2" s="57"/>
      <c r="G2" s="57"/>
    </row>
    <row r="3" spans="2:7" x14ac:dyDescent="0.35">
      <c r="B3" s="58" t="s">
        <v>1</v>
      </c>
      <c r="C3" s="58"/>
      <c r="D3" s="58" t="s">
        <v>5</v>
      </c>
      <c r="E3" s="58"/>
      <c r="F3" s="58" t="s">
        <v>12</v>
      </c>
      <c r="G3" s="58"/>
    </row>
    <row r="4" spans="2:7" x14ac:dyDescent="0.35">
      <c r="B4" s="11" t="s">
        <v>2</v>
      </c>
      <c r="C4" s="2"/>
      <c r="D4" s="11" t="s">
        <v>6</v>
      </c>
      <c r="E4" s="2"/>
      <c r="F4" s="11" t="s">
        <v>13</v>
      </c>
      <c r="G4" s="2"/>
    </row>
    <row r="5" spans="2:7" ht="115.75" customHeight="1" x14ac:dyDescent="0.35">
      <c r="B5" s="11" t="s">
        <v>4</v>
      </c>
      <c r="C5" s="2"/>
      <c r="D5" s="11" t="s">
        <v>7</v>
      </c>
      <c r="E5" s="2"/>
      <c r="F5" s="11" t="s">
        <v>14</v>
      </c>
      <c r="G5" s="2"/>
    </row>
    <row r="6" spans="2:7" x14ac:dyDescent="0.35">
      <c r="B6" s="11" t="s">
        <v>9</v>
      </c>
      <c r="C6" s="47"/>
      <c r="D6" s="11" t="s">
        <v>8</v>
      </c>
      <c r="E6" s="48"/>
      <c r="F6" s="11" t="s">
        <v>15</v>
      </c>
      <c r="G6" s="47"/>
    </row>
    <row r="7" spans="2:7" x14ac:dyDescent="0.35">
      <c r="B7" s="11" t="s">
        <v>3</v>
      </c>
      <c r="C7" s="2"/>
      <c r="D7" s="11" t="s">
        <v>10</v>
      </c>
      <c r="E7" s="2"/>
      <c r="F7" s="12" t="s">
        <v>16</v>
      </c>
      <c r="G7" s="2"/>
    </row>
    <row r="8" spans="2:7" x14ac:dyDescent="0.35">
      <c r="B8" s="11" t="s">
        <v>215</v>
      </c>
      <c r="C8" s="2"/>
      <c r="D8" s="59" t="s">
        <v>11</v>
      </c>
      <c r="E8" s="61"/>
      <c r="F8" s="63" t="s">
        <v>17</v>
      </c>
      <c r="G8" s="64"/>
    </row>
    <row r="9" spans="2:7" x14ac:dyDescent="0.35">
      <c r="B9" s="11" t="s">
        <v>216</v>
      </c>
      <c r="C9" s="2"/>
      <c r="D9" s="60"/>
      <c r="E9" s="62"/>
      <c r="F9" s="65"/>
      <c r="G9" s="66"/>
    </row>
    <row r="12" spans="2:7" x14ac:dyDescent="0.35">
      <c r="B12" s="56" t="s">
        <v>18</v>
      </c>
      <c r="C12" s="56"/>
      <c r="D12" s="56"/>
      <c r="E12" s="56"/>
    </row>
    <row r="13" spans="2:7" x14ac:dyDescent="0.35">
      <c r="B13" s="11" t="s">
        <v>96</v>
      </c>
      <c r="C13" s="13" t="s">
        <v>185</v>
      </c>
      <c r="D13" s="13" t="s">
        <v>149</v>
      </c>
      <c r="E13" s="13" t="s">
        <v>150</v>
      </c>
    </row>
    <row r="14" spans="2:7" x14ac:dyDescent="0.35">
      <c r="B14" s="10" t="str">
        <f>Activities!B5&amp;":"&amp;" "&amp;Activities!C5</f>
        <v xml:space="preserve">1: </v>
      </c>
      <c r="C14" s="21">
        <f>'Rate Proposal'!I9</f>
        <v>0</v>
      </c>
      <c r="D14" s="21">
        <f>'Rate Proposal'!K9</f>
        <v>0</v>
      </c>
      <c r="E14" s="21">
        <f>'Rate Proposal'!M9</f>
        <v>0</v>
      </c>
    </row>
  </sheetData>
  <mergeCells count="8">
    <mergeCell ref="B12:E12"/>
    <mergeCell ref="B2:G2"/>
    <mergeCell ref="B3:C3"/>
    <mergeCell ref="D3:E3"/>
    <mergeCell ref="F3:G3"/>
    <mergeCell ref="D8:D9"/>
    <mergeCell ref="E8:E9"/>
    <mergeCell ref="F8:G9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3"/>
  <sheetViews>
    <sheetView showGridLines="0" workbookViewId="0">
      <selection activeCell="B3" sqref="B3"/>
    </sheetView>
  </sheetViews>
  <sheetFormatPr defaultRowHeight="14.5" x14ac:dyDescent="0.35"/>
  <cols>
    <col min="2" max="2" width="27.54296875" customWidth="1"/>
    <col min="3" max="3" width="27" customWidth="1"/>
    <col min="4" max="4" width="23.6328125" customWidth="1"/>
    <col min="5" max="5" width="24.453125" customWidth="1"/>
  </cols>
  <sheetData>
    <row r="2" spans="2:5" x14ac:dyDescent="0.35">
      <c r="B2" s="11" t="s">
        <v>142</v>
      </c>
      <c r="C2" s="11" t="s">
        <v>143</v>
      </c>
      <c r="D2" s="11" t="s">
        <v>144</v>
      </c>
      <c r="E2" s="11" t="s">
        <v>145</v>
      </c>
    </row>
    <row r="3" spans="2:5" x14ac:dyDescent="0.35">
      <c r="B3" s="1" t="s">
        <v>146</v>
      </c>
      <c r="C3" s="1"/>
      <c r="D3" s="1"/>
      <c r="E3" s="5"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Rates!$B$43:$B$46</xm:f>
          </x14:formula1>
          <xm:sqref>D3</xm:sqref>
        </x14:dataValidation>
        <x14:dataValidation type="list" allowBlank="1" showInputMessage="1" showErrorMessage="1" xr:uid="{00000000-0002-0000-0900-000001000000}">
          <x14:formula1>
            <xm:f>Activities!$G$5:$G$104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5:Z9"/>
  <sheetViews>
    <sheetView showGridLines="0" tabSelected="1" workbookViewId="0">
      <pane xSplit="8" topLeftCell="M1" activePane="topRight" state="frozen"/>
      <selection pane="topRight" activeCell="M26" sqref="M26"/>
    </sheetView>
  </sheetViews>
  <sheetFormatPr defaultRowHeight="14.5" x14ac:dyDescent="0.35"/>
  <cols>
    <col min="2" max="2" width="13.90625" customWidth="1"/>
    <col min="3" max="3" width="12" customWidth="1"/>
    <col min="8" max="8" width="2.08984375" customWidth="1"/>
    <col min="9" max="9" width="13.1796875" customWidth="1"/>
    <col min="10" max="11" width="12.1796875" customWidth="1"/>
    <col min="12" max="12" width="13.36328125" customWidth="1"/>
    <col min="13" max="13" width="11.453125" customWidth="1"/>
    <col min="14" max="14" width="13.54296875" customWidth="1"/>
    <col min="16" max="16" width="16.6328125" customWidth="1"/>
    <col min="17" max="17" width="16.453125" customWidth="1"/>
    <col min="18" max="18" width="14.453125" customWidth="1"/>
    <col min="19" max="19" width="13.6328125" customWidth="1"/>
    <col min="20" max="20" width="13.90625" customWidth="1"/>
    <col min="21" max="21" width="14.08984375" customWidth="1"/>
    <col min="22" max="22" width="3.54296875" customWidth="1"/>
    <col min="23" max="23" width="12.90625" customWidth="1"/>
    <col min="24" max="24" width="10.81640625" customWidth="1"/>
    <col min="25" max="25" width="11.81640625" customWidth="1"/>
  </cols>
  <sheetData>
    <row r="5" spans="2:26" x14ac:dyDescent="0.35">
      <c r="I5" s="68" t="s">
        <v>178</v>
      </c>
      <c r="J5" s="81"/>
      <c r="K5" s="81"/>
      <c r="L5" s="81"/>
      <c r="M5" s="81"/>
      <c r="N5" s="70"/>
      <c r="P5" s="68" t="s">
        <v>178</v>
      </c>
      <c r="Q5" s="81"/>
      <c r="R5" s="81"/>
      <c r="S5" s="81"/>
      <c r="T5" s="81"/>
      <c r="U5" s="70"/>
      <c r="W5" s="83" t="s">
        <v>184</v>
      </c>
      <c r="X5" s="84"/>
      <c r="Y5" s="84"/>
      <c r="Z5" s="85"/>
    </row>
    <row r="6" spans="2:26" x14ac:dyDescent="0.35">
      <c r="I6" s="82" t="str">
        <f>"FY"&amp;" "&amp;('Center Information'!C7)</f>
        <v xml:space="preserve">FY </v>
      </c>
      <c r="J6" s="82"/>
      <c r="K6" s="82"/>
      <c r="L6" s="82"/>
      <c r="M6" s="82"/>
      <c r="N6" s="82"/>
      <c r="P6" s="82" t="str">
        <f>"FY"&amp;" "&amp;('Center Information'!C7+1)</f>
        <v>FY 1</v>
      </c>
      <c r="Q6" s="82"/>
      <c r="R6" s="82"/>
      <c r="S6" s="82"/>
      <c r="T6" s="82"/>
      <c r="U6" s="82"/>
      <c r="W6" s="86" t="str">
        <f>I6</f>
        <v xml:space="preserve">FY </v>
      </c>
      <c r="X6" s="86"/>
      <c r="Y6" s="86"/>
      <c r="Z6" s="86"/>
    </row>
    <row r="7" spans="2:26" x14ac:dyDescent="0.35">
      <c r="D7" s="73" t="s">
        <v>148</v>
      </c>
      <c r="E7" s="73"/>
      <c r="F7" s="73" t="s">
        <v>173</v>
      </c>
      <c r="G7" s="73"/>
      <c r="I7" s="73" t="s">
        <v>148</v>
      </c>
      <c r="J7" s="73"/>
      <c r="K7" s="73" t="s">
        <v>173</v>
      </c>
      <c r="L7" s="73"/>
      <c r="M7" s="73"/>
      <c r="N7" s="73"/>
      <c r="P7" s="73" t="s">
        <v>148</v>
      </c>
      <c r="Q7" s="73"/>
      <c r="R7" s="73" t="s">
        <v>173</v>
      </c>
      <c r="S7" s="73"/>
      <c r="T7" s="73"/>
      <c r="U7" s="73"/>
      <c r="W7" s="15" t="s">
        <v>148</v>
      </c>
      <c r="X7" s="73" t="s">
        <v>173</v>
      </c>
      <c r="Y7" s="73"/>
      <c r="Z7" s="73" t="s">
        <v>110</v>
      </c>
    </row>
    <row r="8" spans="2:26" ht="28.75" customHeight="1" x14ac:dyDescent="0.35">
      <c r="B8" s="11" t="s">
        <v>96</v>
      </c>
      <c r="C8" s="11" t="s">
        <v>66</v>
      </c>
      <c r="D8" s="11" t="s">
        <v>174</v>
      </c>
      <c r="E8" s="11" t="s">
        <v>139</v>
      </c>
      <c r="F8" s="11" t="s">
        <v>175</v>
      </c>
      <c r="G8" s="11" t="s">
        <v>139</v>
      </c>
      <c r="I8" s="11" t="s">
        <v>176</v>
      </c>
      <c r="J8" s="22" t="s">
        <v>177</v>
      </c>
      <c r="K8" s="11" t="s">
        <v>158</v>
      </c>
      <c r="L8" s="22" t="s">
        <v>177</v>
      </c>
      <c r="M8" s="11" t="s">
        <v>159</v>
      </c>
      <c r="N8" s="22" t="s">
        <v>177</v>
      </c>
      <c r="P8" s="14" t="s">
        <v>179</v>
      </c>
      <c r="Q8" s="10" t="s">
        <v>180</v>
      </c>
      <c r="R8" s="14" t="s">
        <v>181</v>
      </c>
      <c r="S8" s="10" t="s">
        <v>76</v>
      </c>
      <c r="T8" s="14" t="s">
        <v>183</v>
      </c>
      <c r="U8" s="10" t="s">
        <v>182</v>
      </c>
      <c r="W8" s="11" t="s">
        <v>176</v>
      </c>
      <c r="X8" s="11" t="s">
        <v>158</v>
      </c>
      <c r="Y8" s="11" t="s">
        <v>159</v>
      </c>
      <c r="Z8" s="73"/>
    </row>
    <row r="9" spans="2:26" x14ac:dyDescent="0.35">
      <c r="B9" s="10" t="str">
        <f>Activities!B5&amp;":"&amp;" "&amp;Activities!C5</f>
        <v xml:space="preserve">1: </v>
      </c>
      <c r="C9" s="10">
        <f>Activities!E5</f>
        <v>0</v>
      </c>
      <c r="D9" s="21">
        <f>'Cost Summary'!P7</f>
        <v>0</v>
      </c>
      <c r="E9" s="21">
        <f>'Cost Summary'!P7</f>
        <v>0</v>
      </c>
      <c r="F9" s="21">
        <f>IF(I9&gt;'Market Summary'!$E5,I9,IF('Market Summary'!$D5="Yes",'Market Summary'!$E5,'Cost Summary'!S7))</f>
        <v>0</v>
      </c>
      <c r="G9" s="21">
        <f>'Cost Summary'!S7</f>
        <v>0</v>
      </c>
      <c r="I9" s="5">
        <v>0</v>
      </c>
      <c r="J9" s="10" t="str">
        <f>IF(I9&gt;(D9*1.05),"Error: Rate &gt; Max Rate",(IF(I9&lt;(D9),"Error: Rate &gt; Max Rate",(CONCATENATE("$",ROUND(E9-I9,2)," / $",ROUND((E9-I9)*Activities!N5,2))))))</f>
        <v>$0 / $0</v>
      </c>
      <c r="K9" s="5">
        <v>0</v>
      </c>
      <c r="L9" s="10" t="str">
        <f>IF(K9=0,"N/A",IF(K9&lt;F9,"Error: Rate &lt; Min Rate",IF((G9-K9)&lt;0,0,CONCATENATE("$",ROUND(G9-K9,2)," / $",ROUND((G9-K9)*Activities!P5,2)))))</f>
        <v>N/A</v>
      </c>
      <c r="M9" s="5">
        <v>0</v>
      </c>
      <c r="N9" s="10" t="str">
        <f>IF(M9=0,"N/A",IF(M9&lt;F9,"Error: Rate &lt; Min Rate", IF((G9-M9)&lt;0,0,CONCATENATE("$",ROUND(G9-M9,2)," / $",ROUND((G9-M9)*Activities!Q5,2)))))</f>
        <v>N/A</v>
      </c>
      <c r="P9" s="4">
        <v>0</v>
      </c>
      <c r="Q9" s="21">
        <f>I9*(1+P9)</f>
        <v>0</v>
      </c>
      <c r="R9" s="4">
        <v>0</v>
      </c>
      <c r="S9" s="21">
        <f>K9*(1+R9)</f>
        <v>0</v>
      </c>
      <c r="T9" s="4">
        <v>0</v>
      </c>
      <c r="U9" s="21">
        <f>M9*(1+T9)</f>
        <v>0</v>
      </c>
      <c r="W9" s="21">
        <f>I9*Activities!N5</f>
        <v>0</v>
      </c>
      <c r="X9" s="21">
        <f>K9*Activities!P5</f>
        <v>0</v>
      </c>
      <c r="Y9" s="21">
        <f>M9*Activities!Q5</f>
        <v>0</v>
      </c>
      <c r="Z9" s="21">
        <f>SUM(W9:Y9)</f>
        <v>0</v>
      </c>
    </row>
  </sheetData>
  <mergeCells count="14">
    <mergeCell ref="P7:Q7"/>
    <mergeCell ref="R7:U7"/>
    <mergeCell ref="P6:U6"/>
    <mergeCell ref="P5:U5"/>
    <mergeCell ref="W5:Z5"/>
    <mergeCell ref="W6:Z6"/>
    <mergeCell ref="X7:Y7"/>
    <mergeCell ref="Z7:Z8"/>
    <mergeCell ref="I5:N5"/>
    <mergeCell ref="D7:E7"/>
    <mergeCell ref="F7:G7"/>
    <mergeCell ref="I7:J7"/>
    <mergeCell ref="K7:N7"/>
    <mergeCell ref="I6:N6"/>
  </mergeCells>
  <conditionalFormatting sqref="J9">
    <cfRule type="containsText" dxfId="4" priority="3" operator="containsText" text="Error">
      <formula>NOT(ISERROR(SEARCH("Error",J9)))</formula>
    </cfRule>
  </conditionalFormatting>
  <conditionalFormatting sqref="L9">
    <cfRule type="containsText" dxfId="3" priority="2" operator="containsText" text="Error">
      <formula>NOT(ISERROR(SEARCH("Error",L9)))</formula>
    </cfRule>
  </conditionalFormatting>
  <conditionalFormatting sqref="N9">
    <cfRule type="containsText" dxfId="2" priority="1" operator="containsText" text="Error">
      <formula>NOT(ISERROR(SEARCH("Error",N9)))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S7"/>
  <sheetViews>
    <sheetView showGridLines="0" workbookViewId="0">
      <pane xSplit="5" topLeftCell="F1" activePane="topRight" state="frozen"/>
      <selection pane="topRight" activeCell="H25" sqref="H25"/>
    </sheetView>
  </sheetViews>
  <sheetFormatPr defaultRowHeight="14.5" x14ac:dyDescent="0.35"/>
  <cols>
    <col min="2" max="2" width="17.81640625" customWidth="1"/>
    <col min="3" max="3" width="18.6328125" customWidth="1"/>
    <col min="4" max="4" width="11.6328125" customWidth="1"/>
    <col min="5" max="5" width="2.54296875" customWidth="1"/>
    <col min="6" max="6" width="11.81640625" customWidth="1"/>
    <col min="10" max="10" width="11.90625" customWidth="1"/>
    <col min="11" max="11" width="14" customWidth="1"/>
    <col min="13" max="13" width="3.54296875" customWidth="1"/>
    <col min="14" max="14" width="14.90625" customWidth="1"/>
    <col min="15" max="15" width="9.453125" customWidth="1"/>
    <col min="17" max="17" width="12.1796875" customWidth="1"/>
    <col min="18" max="18" width="10" customWidth="1"/>
  </cols>
  <sheetData>
    <row r="2" spans="2:19" x14ac:dyDescent="0.35">
      <c r="C2" s="6"/>
      <c r="F2" s="67" t="s">
        <v>127</v>
      </c>
      <c r="G2" s="67"/>
      <c r="H2" s="67"/>
      <c r="I2" s="67"/>
      <c r="J2" s="67"/>
      <c r="K2" s="67"/>
      <c r="L2" s="67"/>
      <c r="N2" s="18" t="s">
        <v>135</v>
      </c>
      <c r="O2" s="67" t="s">
        <v>136</v>
      </c>
      <c r="P2" s="67"/>
      <c r="Q2" s="32" t="s">
        <v>135</v>
      </c>
      <c r="R2" s="67" t="s">
        <v>140</v>
      </c>
      <c r="S2" s="67"/>
    </row>
    <row r="3" spans="2:19" x14ac:dyDescent="0.35">
      <c r="F3" s="74" t="s">
        <v>128</v>
      </c>
      <c r="G3" s="74" t="s">
        <v>129</v>
      </c>
      <c r="H3" s="74" t="s">
        <v>130</v>
      </c>
      <c r="I3" s="73" t="s">
        <v>131</v>
      </c>
      <c r="J3" s="74" t="s">
        <v>133</v>
      </c>
      <c r="K3" s="74" t="s">
        <v>132</v>
      </c>
      <c r="L3" s="74" t="s">
        <v>134</v>
      </c>
      <c r="N3" s="74" t="s">
        <v>137</v>
      </c>
      <c r="O3" s="73" t="s">
        <v>138</v>
      </c>
      <c r="P3" s="87" t="s">
        <v>139</v>
      </c>
      <c r="Q3" s="29" t="s">
        <v>141</v>
      </c>
      <c r="R3" s="73" t="s">
        <v>138</v>
      </c>
      <c r="S3" s="87" t="s">
        <v>139</v>
      </c>
    </row>
    <row r="4" spans="2:19" ht="41.4" customHeight="1" x14ac:dyDescent="0.35">
      <c r="C4" s="67" t="s">
        <v>126</v>
      </c>
      <c r="D4" s="67"/>
      <c r="F4" s="74"/>
      <c r="G4" s="74"/>
      <c r="H4" s="74"/>
      <c r="I4" s="73"/>
      <c r="J4" s="74"/>
      <c r="K4" s="74"/>
      <c r="L4" s="74"/>
      <c r="N4" s="74"/>
      <c r="O4" s="73"/>
      <c r="P4" s="87"/>
      <c r="Q4" s="30">
        <v>0.44400000000000001</v>
      </c>
      <c r="R4" s="73"/>
      <c r="S4" s="87"/>
    </row>
    <row r="5" spans="2:19" x14ac:dyDescent="0.35">
      <c r="B5" s="73" t="s">
        <v>96</v>
      </c>
      <c r="C5" s="60" t="s">
        <v>110</v>
      </c>
      <c r="D5" s="73" t="s">
        <v>66</v>
      </c>
      <c r="F5" s="21">
        <f t="shared" ref="F5:N5" si="0">SUM(F7:F146)</f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>'Personnel Costs'!C9</f>
        <v>0</v>
      </c>
      <c r="K5" s="21">
        <f>'Fixed Costs'!C8</f>
        <v>0</v>
      </c>
      <c r="L5" s="21">
        <f t="shared" si="0"/>
        <v>0</v>
      </c>
      <c r="N5" s="21">
        <f t="shared" si="0"/>
        <v>0</v>
      </c>
      <c r="O5" s="21">
        <f>SUM(O7:O146)</f>
        <v>0</v>
      </c>
      <c r="P5" s="87"/>
      <c r="Q5" s="31">
        <f>SUM(Q7:Q145)</f>
        <v>0</v>
      </c>
      <c r="R5" s="21">
        <f>SUM(R7:R145)</f>
        <v>0</v>
      </c>
      <c r="S5" s="87"/>
    </row>
    <row r="6" spans="2:19" ht="9" customHeight="1" x14ac:dyDescent="0.35">
      <c r="B6" s="73"/>
      <c r="C6" s="73"/>
      <c r="D6" s="73"/>
    </row>
    <row r="7" spans="2:19" x14ac:dyDescent="0.35">
      <c r="B7" s="10" t="str">
        <f>Activities!B5&amp;":"&amp;" "&amp;Activities!C5</f>
        <v xml:space="preserve">1: </v>
      </c>
      <c r="C7" s="10">
        <f>Activities!I5</f>
        <v>0</v>
      </c>
      <c r="D7" s="10">
        <f>Activities!E5</f>
        <v>0</v>
      </c>
      <c r="F7" s="21">
        <f>'Personnel Costs'!C11</f>
        <v>0</v>
      </c>
      <c r="G7" s="21">
        <f>'Variable Costs'!C8</f>
        <v>0</v>
      </c>
      <c r="H7" s="21">
        <f>'Fixed Costs'!C9</f>
        <v>0</v>
      </c>
      <c r="I7" s="21">
        <f>SUM(F7:H7)</f>
        <v>0</v>
      </c>
      <c r="J7" s="21">
        <f>IFERROR(((I7+N7)/($I$5+$N$5))*$J$5,0)</f>
        <v>0</v>
      </c>
      <c r="K7" s="21">
        <f>IFERROR(((I7+N7)/($I$5+$N$5))*$K$5,0)</f>
        <v>0</v>
      </c>
      <c r="L7" s="21">
        <f>SUM(I7:K7)</f>
        <v>0</v>
      </c>
      <c r="N7" s="21">
        <f>'Cap_EQ Costs'!C8</f>
        <v>0</v>
      </c>
      <c r="O7" s="21">
        <f>L7+N7</f>
        <v>0</v>
      </c>
      <c r="P7" s="21">
        <f>IF(C7&lt;&gt;0,ROUND(O7/C7,2),0)</f>
        <v>0</v>
      </c>
      <c r="Q7" s="21">
        <f>L7*($Q$4)</f>
        <v>0</v>
      </c>
      <c r="R7" s="21">
        <f>L7+Q7+N7</f>
        <v>0</v>
      </c>
      <c r="S7" s="21">
        <f>IF(C7&lt;&gt;0,ROUND(R7/C7,2),0)</f>
        <v>0</v>
      </c>
    </row>
  </sheetData>
  <mergeCells count="19">
    <mergeCell ref="B5:B6"/>
    <mergeCell ref="C5:C6"/>
    <mergeCell ref="D5:D6"/>
    <mergeCell ref="C4:D4"/>
    <mergeCell ref="P3:P5"/>
    <mergeCell ref="R3:R4"/>
    <mergeCell ref="S3:S5"/>
    <mergeCell ref="R2:S2"/>
    <mergeCell ref="F2:L2"/>
    <mergeCell ref="O2:P2"/>
    <mergeCell ref="F3:F4"/>
    <mergeCell ref="G3:G4"/>
    <mergeCell ref="H3:H4"/>
    <mergeCell ref="I3:I4"/>
    <mergeCell ref="J3:J4"/>
    <mergeCell ref="K3:K4"/>
    <mergeCell ref="L3:L4"/>
    <mergeCell ref="N3:N4"/>
    <mergeCell ref="O3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G34"/>
  <sheetViews>
    <sheetView showGridLines="0" workbookViewId="0">
      <selection activeCell="L34" sqref="L34"/>
    </sheetView>
  </sheetViews>
  <sheetFormatPr defaultRowHeight="14.5" x14ac:dyDescent="0.35"/>
  <sheetData>
    <row r="2" spans="2:7" x14ac:dyDescent="0.35">
      <c r="B2" s="58" t="s">
        <v>153</v>
      </c>
      <c r="C2" s="58"/>
      <c r="D2" s="58"/>
      <c r="E2" s="58"/>
      <c r="F2" s="58"/>
      <c r="G2" s="21">
        <f>'Prior Year Summary'!J40</f>
        <v>0</v>
      </c>
    </row>
    <row r="3" spans="2:7" x14ac:dyDescent="0.35">
      <c r="B3" s="58" t="s">
        <v>154</v>
      </c>
      <c r="C3" s="58"/>
      <c r="D3" s="58"/>
      <c r="E3" s="58"/>
      <c r="F3" s="58"/>
      <c r="G3" s="5">
        <v>0</v>
      </c>
    </row>
    <row r="5" spans="2:7" x14ac:dyDescent="0.35">
      <c r="B5" s="67" t="s">
        <v>155</v>
      </c>
      <c r="C5" s="67"/>
      <c r="D5" s="67"/>
      <c r="E5" s="67"/>
      <c r="F5" s="67"/>
      <c r="G5" s="67"/>
    </row>
    <row r="6" spans="2:7" x14ac:dyDescent="0.35">
      <c r="B6" s="76" t="s">
        <v>156</v>
      </c>
      <c r="C6" s="97"/>
      <c r="D6" s="97"/>
      <c r="E6" s="97"/>
      <c r="F6" s="97"/>
      <c r="G6" s="25">
        <f>'Center Information'!C7</f>
        <v>0</v>
      </c>
    </row>
    <row r="7" spans="2:7" x14ac:dyDescent="0.35">
      <c r="B7" s="89" t="s">
        <v>157</v>
      </c>
      <c r="C7" s="89"/>
      <c r="D7" s="89"/>
      <c r="E7" s="89"/>
      <c r="F7" s="89"/>
      <c r="G7" s="21">
        <f>SUM('Rate Proposal'!W9:W170)</f>
        <v>0</v>
      </c>
    </row>
    <row r="8" spans="2:7" x14ac:dyDescent="0.35">
      <c r="B8" s="89" t="s">
        <v>158</v>
      </c>
      <c r="C8" s="89"/>
      <c r="D8" s="89"/>
      <c r="E8" s="89"/>
      <c r="F8" s="89"/>
      <c r="G8" s="21">
        <f>SUM('Rate Proposal'!X9:X170)</f>
        <v>0</v>
      </c>
    </row>
    <row r="9" spans="2:7" x14ac:dyDescent="0.35">
      <c r="B9" s="89" t="s">
        <v>159</v>
      </c>
      <c r="C9" s="89"/>
      <c r="D9" s="89"/>
      <c r="E9" s="89"/>
      <c r="F9" s="89"/>
      <c r="G9" s="21">
        <f>SUM('Rate Proposal'!Y9:Y170)</f>
        <v>0</v>
      </c>
    </row>
    <row r="10" spans="2:7" x14ac:dyDescent="0.35">
      <c r="B10" s="89" t="s">
        <v>160</v>
      </c>
      <c r="C10" s="89"/>
      <c r="D10" s="89"/>
      <c r="E10" s="89"/>
      <c r="F10" s="89"/>
      <c r="G10" s="21">
        <f>SUM('Variable Costs'!H8:H175)</f>
        <v>0</v>
      </c>
    </row>
    <row r="11" spans="2:7" x14ac:dyDescent="0.35">
      <c r="B11" s="95" t="s">
        <v>161</v>
      </c>
      <c r="C11" s="95"/>
      <c r="D11" s="95"/>
      <c r="E11" s="95"/>
      <c r="F11" s="95"/>
      <c r="G11" s="45">
        <f>SUM(G7:G10)</f>
        <v>0</v>
      </c>
    </row>
    <row r="13" spans="2:7" x14ac:dyDescent="0.35">
      <c r="B13" s="67" t="s">
        <v>162</v>
      </c>
      <c r="C13" s="67"/>
      <c r="D13" s="67"/>
      <c r="E13" s="67"/>
      <c r="F13" s="67"/>
      <c r="G13" s="67"/>
    </row>
    <row r="14" spans="2:7" x14ac:dyDescent="0.35">
      <c r="B14" s="89" t="s">
        <v>163</v>
      </c>
      <c r="C14" s="89"/>
      <c r="D14" s="89"/>
      <c r="E14" s="89"/>
      <c r="F14" s="89"/>
      <c r="G14" s="21">
        <f>G15+G16</f>
        <v>0</v>
      </c>
    </row>
    <row r="15" spans="2:7" x14ac:dyDescent="0.35">
      <c r="B15" s="89" t="s">
        <v>164</v>
      </c>
      <c r="C15" s="89"/>
      <c r="D15" s="89"/>
      <c r="E15" s="89"/>
      <c r="F15" s="89"/>
      <c r="G15" s="21">
        <f>SUM(Personnel!11:11)</f>
        <v>0</v>
      </c>
    </row>
    <row r="16" spans="2:7" x14ac:dyDescent="0.35">
      <c r="B16" s="89" t="s">
        <v>165</v>
      </c>
      <c r="C16" s="89"/>
      <c r="D16" s="89"/>
      <c r="E16" s="89"/>
      <c r="F16" s="89"/>
      <c r="G16" s="21">
        <f>SUM(Personnel!12:12)</f>
        <v>0</v>
      </c>
    </row>
    <row r="17" spans="2:7" x14ac:dyDescent="0.35">
      <c r="B17" s="89" t="s">
        <v>166</v>
      </c>
      <c r="C17" s="89"/>
      <c r="D17" s="89"/>
      <c r="E17" s="89"/>
      <c r="F17" s="89"/>
      <c r="G17" s="21">
        <f>'Cost Summary'!N5</f>
        <v>0</v>
      </c>
    </row>
    <row r="18" spans="2:7" x14ac:dyDescent="0.35">
      <c r="B18" s="89" t="s">
        <v>129</v>
      </c>
      <c r="C18" s="89"/>
      <c r="D18" s="89"/>
      <c r="E18" s="89"/>
      <c r="F18" s="89"/>
      <c r="G18" s="21">
        <f>'Cost Summary'!G5</f>
        <v>0</v>
      </c>
    </row>
    <row r="19" spans="2:7" x14ac:dyDescent="0.35">
      <c r="B19" s="89" t="s">
        <v>167</v>
      </c>
      <c r="C19" s="89"/>
      <c r="D19" s="89"/>
      <c r="E19" s="89"/>
      <c r="F19" s="89"/>
      <c r="G19" s="21">
        <f>SUM('Variable Costs'!H8:H175)</f>
        <v>0</v>
      </c>
    </row>
    <row r="20" spans="2:7" x14ac:dyDescent="0.35">
      <c r="B20" s="89" t="s">
        <v>130</v>
      </c>
      <c r="C20" s="89"/>
      <c r="D20" s="89"/>
      <c r="E20" s="89"/>
      <c r="F20" s="89"/>
      <c r="G20" s="21">
        <f>'Cost Summary'!H5+'Cost Summary'!K5</f>
        <v>0</v>
      </c>
    </row>
    <row r="21" spans="2:7" x14ac:dyDescent="0.35">
      <c r="B21" s="90" t="s">
        <v>168</v>
      </c>
      <c r="C21" s="90"/>
      <c r="D21" s="90"/>
      <c r="E21" s="90"/>
      <c r="F21" s="90"/>
      <c r="G21" s="45">
        <f>G14+SUM(G17:G20)</f>
        <v>0</v>
      </c>
    </row>
    <row r="23" spans="2:7" x14ac:dyDescent="0.35">
      <c r="B23" s="67" t="s">
        <v>51</v>
      </c>
      <c r="C23" s="67"/>
      <c r="D23" s="67"/>
      <c r="E23" s="67"/>
      <c r="F23" s="67"/>
      <c r="G23" s="21">
        <f>SUM(G24:G26)</f>
        <v>0</v>
      </c>
    </row>
    <row r="24" spans="2:7" x14ac:dyDescent="0.35">
      <c r="B24" s="91" t="s">
        <v>56</v>
      </c>
      <c r="C24" s="92"/>
      <c r="D24" s="92"/>
      <c r="E24" s="92"/>
      <c r="F24" s="7">
        <f>VLOOKUP(B24,Rates!$B$37:$E$40,4,FALSE)</f>
        <v>1.0999999999999999E-2</v>
      </c>
      <c r="G24" s="24">
        <f>G15*F24</f>
        <v>0</v>
      </c>
    </row>
    <row r="25" spans="2:7" x14ac:dyDescent="0.35">
      <c r="B25" s="93" t="s">
        <v>57</v>
      </c>
      <c r="C25" s="94"/>
      <c r="D25" s="94"/>
      <c r="E25" s="94"/>
      <c r="F25" s="7">
        <f>VLOOKUP(B25,Rates!$B$37:$E$40,4,FALSE)</f>
        <v>1.6E-2</v>
      </c>
      <c r="G25" s="24">
        <f>G14*F25</f>
        <v>0</v>
      </c>
    </row>
    <row r="26" spans="2:7" x14ac:dyDescent="0.35">
      <c r="B26" s="91" t="s">
        <v>55</v>
      </c>
      <c r="C26" s="92"/>
      <c r="D26" s="92"/>
      <c r="E26" s="92"/>
      <c r="F26" s="7">
        <f>VLOOKUP(B26,Rates!$B$37:$E$40,4,FALSE)</f>
        <v>8.5000000000000006E-2</v>
      </c>
      <c r="G26" s="24">
        <f>(G14+G18+G20+G24+G25)*F26</f>
        <v>0</v>
      </c>
    </row>
    <row r="27" spans="2:7" x14ac:dyDescent="0.35">
      <c r="B27" s="95" t="s">
        <v>172</v>
      </c>
      <c r="C27" s="95"/>
      <c r="D27" s="95"/>
      <c r="E27" s="95"/>
      <c r="F27" s="96"/>
      <c r="G27" s="21">
        <f>G3+G11-G21-G23</f>
        <v>0</v>
      </c>
    </row>
    <row r="28" spans="2:7" x14ac:dyDescent="0.35">
      <c r="B28" s="89" t="s">
        <v>169</v>
      </c>
      <c r="C28" s="89"/>
      <c r="D28" s="89"/>
      <c r="E28" s="89"/>
      <c r="F28" s="89"/>
      <c r="G28" s="21">
        <f>G17</f>
        <v>0</v>
      </c>
    </row>
    <row r="29" spans="2:7" x14ac:dyDescent="0.35">
      <c r="B29" s="89" t="s">
        <v>170</v>
      </c>
      <c r="C29" s="89"/>
      <c r="D29" s="89"/>
      <c r="E29" s="89"/>
      <c r="F29" s="89"/>
      <c r="G29" s="5">
        <f>B34</f>
        <v>0</v>
      </c>
    </row>
    <row r="30" spans="2:7" x14ac:dyDescent="0.35">
      <c r="B30" s="90" t="s">
        <v>211</v>
      </c>
      <c r="C30" s="90"/>
      <c r="D30" s="90"/>
      <c r="E30" s="90"/>
      <c r="F30" s="90"/>
      <c r="G30" s="45">
        <f>SUM(G27:G29)</f>
        <v>0</v>
      </c>
    </row>
    <row r="33" spans="2:4" x14ac:dyDescent="0.35">
      <c r="B33" s="58" t="s">
        <v>171</v>
      </c>
      <c r="C33" s="58"/>
      <c r="D33" s="58"/>
    </row>
    <row r="34" spans="2:4" x14ac:dyDescent="0.35">
      <c r="B34" s="88">
        <v>0</v>
      </c>
      <c r="C34" s="88"/>
      <c r="D34" s="88"/>
    </row>
  </sheetData>
  <mergeCells count="28">
    <mergeCell ref="B26:E26"/>
    <mergeCell ref="B27:F27"/>
    <mergeCell ref="B2:F2"/>
    <mergeCell ref="B3:F3"/>
    <mergeCell ref="B19:F19"/>
    <mergeCell ref="B20:F20"/>
    <mergeCell ref="B21:F21"/>
    <mergeCell ref="B6:F6"/>
    <mergeCell ref="B7:F7"/>
    <mergeCell ref="B8:F8"/>
    <mergeCell ref="B9:F9"/>
    <mergeCell ref="B10:F10"/>
    <mergeCell ref="B11:F11"/>
    <mergeCell ref="B17:F17"/>
    <mergeCell ref="B18:F18"/>
    <mergeCell ref="B23:F23"/>
    <mergeCell ref="B24:E24"/>
    <mergeCell ref="B25:E25"/>
    <mergeCell ref="B13:G13"/>
    <mergeCell ref="B5:G5"/>
    <mergeCell ref="B14:F14"/>
    <mergeCell ref="B15:F15"/>
    <mergeCell ref="B16:F16"/>
    <mergeCell ref="B33:D33"/>
    <mergeCell ref="B34:D34"/>
    <mergeCell ref="B28:F28"/>
    <mergeCell ref="B29:F29"/>
    <mergeCell ref="B30:F30"/>
  </mergeCells>
  <conditionalFormatting sqref="G27">
    <cfRule type="cellIs" dxfId="1" priority="2" operator="lessThan">
      <formula>0</formula>
    </cfRule>
  </conditionalFormatting>
  <conditionalFormatting sqref="G3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40"/>
  <sheetViews>
    <sheetView showGridLines="0" zoomScale="90" zoomScaleNormal="90" workbookViewId="0">
      <selection activeCell="M18" sqref="M18"/>
    </sheetView>
  </sheetViews>
  <sheetFormatPr defaultRowHeight="14.5" x14ac:dyDescent="0.35"/>
  <cols>
    <col min="3" max="3" width="11.90625" customWidth="1"/>
    <col min="9" max="9" width="27" customWidth="1"/>
    <col min="10" max="10" width="20.81640625" customWidth="1"/>
    <col min="11" max="11" width="5" customWidth="1"/>
    <col min="12" max="12" width="26.81640625" customWidth="1"/>
    <col min="13" max="13" width="11.54296875" customWidth="1"/>
    <col min="14" max="14" width="16.08984375" customWidth="1"/>
    <col min="15" max="15" width="15.90625" customWidth="1"/>
  </cols>
  <sheetData>
    <row r="2" spans="2:15" x14ac:dyDescent="0.35">
      <c r="B2" s="67" t="str">
        <f>"Revenue"&amp;" "&amp;('Center Information'!C7)</f>
        <v xml:space="preserve">Revenue </v>
      </c>
      <c r="C2" s="67"/>
      <c r="D2" s="67"/>
      <c r="E2" s="67"/>
      <c r="F2" s="67"/>
      <c r="G2" s="67"/>
      <c r="I2" s="67" t="str">
        <f>"FY"&amp;" "&amp;('Center Information'!C7-1)</f>
        <v>FY -1</v>
      </c>
      <c r="J2" s="67"/>
      <c r="L2" s="67" t="str">
        <f>"FY"&amp;" "&amp;('Center Information'!C7-1)</f>
        <v>FY -1</v>
      </c>
      <c r="M2" s="67"/>
      <c r="N2" s="67"/>
      <c r="O2" s="67"/>
    </row>
    <row r="3" spans="2:15" x14ac:dyDescent="0.35">
      <c r="B3" s="76" t="s">
        <v>213</v>
      </c>
      <c r="C3" s="97"/>
      <c r="D3" s="97"/>
      <c r="E3" s="97"/>
      <c r="F3" s="97"/>
      <c r="G3" s="28"/>
      <c r="I3" s="26" t="s">
        <v>186</v>
      </c>
      <c r="J3" s="26" t="s">
        <v>187</v>
      </c>
      <c r="L3" s="26" t="s">
        <v>193</v>
      </c>
      <c r="M3" s="26" t="s">
        <v>66</v>
      </c>
      <c r="N3" s="26" t="s">
        <v>194</v>
      </c>
      <c r="O3" s="26" t="s">
        <v>195</v>
      </c>
    </row>
    <row r="4" spans="2:15" x14ac:dyDescent="0.35">
      <c r="B4" s="89" t="s">
        <v>157</v>
      </c>
      <c r="C4" s="89"/>
      <c r="D4" s="89"/>
      <c r="E4" s="89"/>
      <c r="F4" s="89"/>
      <c r="G4" s="52">
        <f>SUM('Rate Proposal'!W9:W170)</f>
        <v>0</v>
      </c>
      <c r="I4" s="5">
        <v>0</v>
      </c>
      <c r="J4" s="5">
        <v>0</v>
      </c>
      <c r="L4" s="54" t="str">
        <f>Activities!B5&amp;":"&amp;" "&amp;Activities!C5</f>
        <v xml:space="preserve">1: </v>
      </c>
      <c r="M4" s="54">
        <f>Activities!E5</f>
        <v>0</v>
      </c>
      <c r="N4" s="1">
        <v>0</v>
      </c>
      <c r="O4" s="1">
        <v>0</v>
      </c>
    </row>
    <row r="5" spans="2:15" x14ac:dyDescent="0.35">
      <c r="B5" s="89" t="s">
        <v>158</v>
      </c>
      <c r="C5" s="89"/>
      <c r="D5" s="89"/>
      <c r="E5" s="89"/>
      <c r="F5" s="89"/>
      <c r="G5" s="52">
        <f>SUM('Rate Proposal'!X9:X170)</f>
        <v>0</v>
      </c>
      <c r="I5" s="5">
        <v>0</v>
      </c>
      <c r="J5" s="5">
        <v>0</v>
      </c>
    </row>
    <row r="6" spans="2:15" x14ac:dyDescent="0.35">
      <c r="B6" s="89" t="s">
        <v>159</v>
      </c>
      <c r="C6" s="89"/>
      <c r="D6" s="89"/>
      <c r="E6" s="89"/>
      <c r="F6" s="89"/>
      <c r="G6" s="52">
        <f>SUM('Rate Proposal'!Y9:Y170)</f>
        <v>0</v>
      </c>
      <c r="I6" s="5">
        <v>0</v>
      </c>
      <c r="J6" s="5">
        <v>0</v>
      </c>
    </row>
    <row r="7" spans="2:15" ht="15" thickBot="1" x14ac:dyDescent="0.4">
      <c r="B7" s="89" t="s">
        <v>160</v>
      </c>
      <c r="C7" s="89"/>
      <c r="D7" s="89"/>
      <c r="E7" s="89"/>
      <c r="F7" s="89"/>
      <c r="G7" s="52">
        <f>SUM('Variable Costs'!H8:H175)</f>
        <v>0</v>
      </c>
      <c r="I7" s="42">
        <v>0</v>
      </c>
      <c r="J7" s="42">
        <v>0</v>
      </c>
    </row>
    <row r="8" spans="2:15" ht="15" thickBot="1" x14ac:dyDescent="0.4">
      <c r="B8" s="95" t="s">
        <v>161</v>
      </c>
      <c r="C8" s="95"/>
      <c r="D8" s="95"/>
      <c r="E8" s="95"/>
      <c r="F8" s="95"/>
      <c r="G8" s="52">
        <f>SUM(G4:G7)</f>
        <v>0</v>
      </c>
      <c r="I8" s="50">
        <f>SUM(I4:I7)</f>
        <v>0</v>
      </c>
      <c r="J8" s="51">
        <f>SUM(J4:J7)</f>
        <v>0</v>
      </c>
    </row>
    <row r="10" spans="2:15" ht="15" thickBot="1" x14ac:dyDescent="0.4">
      <c r="B10" s="67" t="str">
        <f>"Expenses"&amp;" "&amp;('Center Information'!C7)</f>
        <v xml:space="preserve">Expenses </v>
      </c>
      <c r="C10" s="67"/>
      <c r="D10" s="67"/>
      <c r="E10" s="67"/>
      <c r="F10" s="67"/>
      <c r="G10" s="67"/>
      <c r="I10" s="43" t="s">
        <v>188</v>
      </c>
      <c r="J10" s="43" t="s">
        <v>189</v>
      </c>
    </row>
    <row r="11" spans="2:15" ht="15" thickBot="1" x14ac:dyDescent="0.4">
      <c r="B11" s="89" t="s">
        <v>163</v>
      </c>
      <c r="C11" s="89"/>
      <c r="D11" s="89"/>
      <c r="E11" s="89"/>
      <c r="F11" s="89"/>
      <c r="G11" s="52">
        <f>G12+G13</f>
        <v>0</v>
      </c>
      <c r="I11" s="50">
        <f>SUM(I12:I13)</f>
        <v>0</v>
      </c>
      <c r="J11" s="51">
        <f>SUM(J12:J13)</f>
        <v>0</v>
      </c>
    </row>
    <row r="12" spans="2:15" x14ac:dyDescent="0.35">
      <c r="B12" s="89" t="s">
        <v>164</v>
      </c>
      <c r="C12" s="89"/>
      <c r="D12" s="89"/>
      <c r="E12" s="89"/>
      <c r="F12" s="89"/>
      <c r="G12" s="52">
        <f>SUM(Personnel!11:11)</f>
        <v>0</v>
      </c>
      <c r="I12" s="44">
        <v>0</v>
      </c>
      <c r="J12" s="44">
        <v>0</v>
      </c>
    </row>
    <row r="13" spans="2:15" x14ac:dyDescent="0.35">
      <c r="B13" s="89" t="s">
        <v>165</v>
      </c>
      <c r="C13" s="89"/>
      <c r="D13" s="89"/>
      <c r="E13" s="89"/>
      <c r="F13" s="89"/>
      <c r="G13" s="52">
        <f>SUM(Personnel!12:12)</f>
        <v>0</v>
      </c>
      <c r="I13" s="5">
        <v>0</v>
      </c>
      <c r="J13" s="5">
        <v>0</v>
      </c>
    </row>
    <row r="14" spans="2:15" x14ac:dyDescent="0.35">
      <c r="B14" s="89" t="s">
        <v>166</v>
      </c>
      <c r="C14" s="89"/>
      <c r="D14" s="89"/>
      <c r="E14" s="89"/>
      <c r="F14" s="89"/>
      <c r="G14" s="52">
        <f>'Cost Summary'!N5</f>
        <v>0</v>
      </c>
      <c r="I14" s="5">
        <v>0</v>
      </c>
      <c r="J14" s="5">
        <v>0</v>
      </c>
    </row>
    <row r="15" spans="2:15" x14ac:dyDescent="0.35">
      <c r="B15" s="93" t="s">
        <v>190</v>
      </c>
      <c r="C15" s="94"/>
      <c r="D15" s="94"/>
      <c r="E15" s="94"/>
      <c r="F15" s="98"/>
      <c r="G15" s="52">
        <f>'Cost Summary'!J5+'Cost Summary'!K5</f>
        <v>0</v>
      </c>
      <c r="I15" s="5">
        <v>0</v>
      </c>
      <c r="J15" s="5">
        <v>0</v>
      </c>
    </row>
    <row r="16" spans="2:15" x14ac:dyDescent="0.35">
      <c r="B16" s="89" t="s">
        <v>129</v>
      </c>
      <c r="C16" s="89"/>
      <c r="D16" s="89"/>
      <c r="E16" s="89"/>
      <c r="F16" s="89"/>
      <c r="G16" s="52">
        <f>'Cost Summary'!G5</f>
        <v>0</v>
      </c>
      <c r="I16" s="5">
        <v>0</v>
      </c>
      <c r="J16" s="5">
        <v>0</v>
      </c>
    </row>
    <row r="17" spans="2:10" x14ac:dyDescent="0.35">
      <c r="B17" s="89" t="s">
        <v>167</v>
      </c>
      <c r="C17" s="89"/>
      <c r="D17" s="89"/>
      <c r="E17" s="89"/>
      <c r="F17" s="89"/>
      <c r="G17" s="52">
        <f>SUM('Variable Costs'!H8:H175)</f>
        <v>0</v>
      </c>
      <c r="I17" s="5">
        <v>0</v>
      </c>
      <c r="J17" s="5">
        <v>0</v>
      </c>
    </row>
    <row r="18" spans="2:10" ht="15" thickBot="1" x14ac:dyDescent="0.4">
      <c r="B18" s="89" t="s">
        <v>130</v>
      </c>
      <c r="C18" s="89"/>
      <c r="D18" s="89"/>
      <c r="E18" s="89"/>
      <c r="F18" s="89"/>
      <c r="G18" s="52">
        <f>'Cost Summary'!H5+'Cost Summary'!K5</f>
        <v>0</v>
      </c>
      <c r="I18" s="42">
        <v>0</v>
      </c>
      <c r="J18" s="42">
        <v>0</v>
      </c>
    </row>
    <row r="19" spans="2:10" ht="15" thickBot="1" x14ac:dyDescent="0.4">
      <c r="B19" s="95" t="s">
        <v>168</v>
      </c>
      <c r="C19" s="95"/>
      <c r="D19" s="95"/>
      <c r="E19" s="95"/>
      <c r="F19" s="95"/>
      <c r="G19" s="52">
        <f>G11+SUM(G14:G18)</f>
        <v>0</v>
      </c>
      <c r="I19" s="50">
        <f>I11+SUM(I14:I18)</f>
        <v>0</v>
      </c>
      <c r="J19" s="50">
        <f>J11+SUM(J14:J18)</f>
        <v>0</v>
      </c>
    </row>
    <row r="20" spans="2:10" x14ac:dyDescent="0.35">
      <c r="B20" s="8"/>
      <c r="C20" s="8"/>
      <c r="D20" s="8"/>
      <c r="E20" s="8"/>
      <c r="F20" s="8"/>
      <c r="G20" s="3"/>
      <c r="I20" s="3"/>
      <c r="J20" s="3"/>
    </row>
    <row r="21" spans="2:10" ht="15" thickBot="1" x14ac:dyDescent="0.4">
      <c r="I21" s="43" t="s">
        <v>191</v>
      </c>
      <c r="J21" s="43" t="s">
        <v>192</v>
      </c>
    </row>
    <row r="22" spans="2:10" ht="15" thickBot="1" x14ac:dyDescent="0.4">
      <c r="B22" s="67" t="str">
        <f>"Internal Charges"&amp;" "&amp;('Center Information'!C7)</f>
        <v xml:space="preserve">Internal Charges </v>
      </c>
      <c r="C22" s="67"/>
      <c r="D22" s="67"/>
      <c r="E22" s="67"/>
      <c r="F22" s="67"/>
      <c r="G22" s="52">
        <f>SUM(G23:G25)</f>
        <v>0</v>
      </c>
      <c r="I22" s="50">
        <f>SUM(I23:I25)</f>
        <v>0</v>
      </c>
      <c r="J22" s="51">
        <f>SUM(J23:J25)</f>
        <v>0</v>
      </c>
    </row>
    <row r="23" spans="2:10" x14ac:dyDescent="0.35">
      <c r="B23" s="91" t="s">
        <v>56</v>
      </c>
      <c r="C23" s="92"/>
      <c r="D23" s="92"/>
      <c r="E23" s="92"/>
      <c r="F23" s="7">
        <f>VLOOKUP(B23,Rates!$B$37:$E$40,4,FALSE)</f>
        <v>1.0999999999999999E-2</v>
      </c>
      <c r="G23" s="55">
        <f>G12*F23</f>
        <v>0</v>
      </c>
      <c r="I23" s="44">
        <v>0</v>
      </c>
      <c r="J23" s="44">
        <v>0</v>
      </c>
    </row>
    <row r="24" spans="2:10" x14ac:dyDescent="0.35">
      <c r="B24" s="93" t="s">
        <v>57</v>
      </c>
      <c r="C24" s="94"/>
      <c r="D24" s="94"/>
      <c r="E24" s="94"/>
      <c r="F24" s="7">
        <f>VLOOKUP(B24,Rates!$B$37:$E$40,4,FALSE)</f>
        <v>1.6E-2</v>
      </c>
      <c r="G24" s="55">
        <f>G11*F24</f>
        <v>0</v>
      </c>
      <c r="I24" s="5">
        <v>0</v>
      </c>
      <c r="J24" s="5">
        <v>0</v>
      </c>
    </row>
    <row r="25" spans="2:10" ht="15" thickBot="1" x14ac:dyDescent="0.4">
      <c r="B25" s="91" t="s">
        <v>55</v>
      </c>
      <c r="C25" s="92"/>
      <c r="D25" s="92"/>
      <c r="E25" s="92"/>
      <c r="F25" s="7">
        <f>VLOOKUP(B25,Rates!$B$37:$E$40,4,FALSE)</f>
        <v>8.5000000000000006E-2</v>
      </c>
      <c r="G25" s="55">
        <f>(G11+G16+G18+G23+G24)*F25</f>
        <v>0</v>
      </c>
      <c r="I25" s="42">
        <v>0</v>
      </c>
      <c r="J25" s="42">
        <v>0</v>
      </c>
    </row>
    <row r="26" spans="2:10" ht="15" thickBot="1" x14ac:dyDescent="0.4">
      <c r="B26" s="95" t="s">
        <v>172</v>
      </c>
      <c r="C26" s="95"/>
      <c r="D26" s="95"/>
      <c r="E26" s="95"/>
      <c r="F26" s="96"/>
      <c r="G26" s="52">
        <f>G8-G19-G22</f>
        <v>0</v>
      </c>
      <c r="I26" s="50">
        <f>I8-I19-I22</f>
        <v>0</v>
      </c>
      <c r="J26" s="50">
        <f>J8-J19-J22</f>
        <v>0</v>
      </c>
    </row>
    <row r="27" spans="2:10" x14ac:dyDescent="0.35">
      <c r="B27" s="89" t="s">
        <v>169</v>
      </c>
      <c r="C27" s="89"/>
      <c r="D27" s="89"/>
      <c r="E27" s="89"/>
      <c r="F27" s="89"/>
      <c r="G27" s="52">
        <f>G14</f>
        <v>0</v>
      </c>
      <c r="I27" s="44">
        <f>I14</f>
        <v>0</v>
      </c>
      <c r="J27" s="44">
        <v>0</v>
      </c>
    </row>
    <row r="28" spans="2:10" ht="15" thickBot="1" x14ac:dyDescent="0.4">
      <c r="B28" s="89" t="s">
        <v>170</v>
      </c>
      <c r="C28" s="89"/>
      <c r="D28" s="89"/>
      <c r="E28" s="89"/>
      <c r="F28" s="89"/>
      <c r="G28" s="52">
        <f>B32</f>
        <v>0</v>
      </c>
      <c r="I28" s="42">
        <v>0</v>
      </c>
      <c r="J28" s="42">
        <v>0</v>
      </c>
    </row>
    <row r="29" spans="2:10" ht="15" thickBot="1" x14ac:dyDescent="0.4">
      <c r="B29" s="95" t="s">
        <v>210</v>
      </c>
      <c r="C29" s="95"/>
      <c r="D29" s="95"/>
      <c r="E29" s="95"/>
      <c r="F29" s="95"/>
      <c r="G29" s="52">
        <f>SUM(G26:G28)</f>
        <v>0</v>
      </c>
      <c r="I29" s="50">
        <f>SUM(I26:I28)</f>
        <v>0</v>
      </c>
      <c r="J29" s="51">
        <f>SUM(J26:J28)</f>
        <v>0</v>
      </c>
    </row>
    <row r="31" spans="2:10" x14ac:dyDescent="0.35">
      <c r="B31" s="67" t="s">
        <v>171</v>
      </c>
      <c r="C31" s="67"/>
      <c r="D31" s="67"/>
      <c r="I31" s="87" t="s">
        <v>202</v>
      </c>
      <c r="J31" s="87"/>
    </row>
    <row r="32" spans="2:10" x14ac:dyDescent="0.35">
      <c r="B32" s="88">
        <v>0</v>
      </c>
      <c r="C32" s="88"/>
      <c r="D32" s="88"/>
      <c r="I32" s="1" t="s">
        <v>204</v>
      </c>
      <c r="J32" s="1"/>
    </row>
    <row r="33" spans="2:10" x14ac:dyDescent="0.35">
      <c r="I33" s="1" t="s">
        <v>203</v>
      </c>
      <c r="J33" s="5">
        <v>0</v>
      </c>
    </row>
    <row r="34" spans="2:10" x14ac:dyDescent="0.35">
      <c r="B34" s="67" t="s">
        <v>196</v>
      </c>
      <c r="C34" s="67"/>
      <c r="D34" s="67"/>
    </row>
    <row r="35" spans="2:10" x14ac:dyDescent="0.35">
      <c r="B35" s="11" t="s">
        <v>199</v>
      </c>
      <c r="C35" s="11" t="s">
        <v>200</v>
      </c>
      <c r="D35" s="11" t="s">
        <v>201</v>
      </c>
      <c r="I35" s="87" t="s">
        <v>205</v>
      </c>
      <c r="J35" s="87"/>
    </row>
    <row r="36" spans="2:10" x14ac:dyDescent="0.35">
      <c r="B36" s="41" t="s">
        <v>197</v>
      </c>
      <c r="C36" s="1"/>
      <c r="D36" s="5">
        <v>0</v>
      </c>
      <c r="I36" s="1" t="s">
        <v>206</v>
      </c>
      <c r="J36" s="52">
        <f>D36+D37</f>
        <v>0</v>
      </c>
    </row>
    <row r="37" spans="2:10" x14ac:dyDescent="0.35">
      <c r="B37" s="41" t="s">
        <v>198</v>
      </c>
      <c r="C37" s="1"/>
      <c r="D37" s="5">
        <v>0</v>
      </c>
      <c r="I37" s="1" t="s">
        <v>207</v>
      </c>
      <c r="J37" s="5">
        <v>0</v>
      </c>
    </row>
    <row r="38" spans="2:10" x14ac:dyDescent="0.35">
      <c r="I38" s="1" t="s">
        <v>208</v>
      </c>
      <c r="J38" s="52">
        <f>IF(J37&gt;J33,J36+J37-J33,J36)</f>
        <v>0</v>
      </c>
    </row>
    <row r="39" spans="2:10" x14ac:dyDescent="0.35">
      <c r="I39" s="9" t="s">
        <v>209</v>
      </c>
      <c r="J39" s="52">
        <f>(J19+J33)/12*2</f>
        <v>0</v>
      </c>
    </row>
    <row r="40" spans="2:10" x14ac:dyDescent="0.35">
      <c r="I40" s="27" t="s">
        <v>212</v>
      </c>
      <c r="J40" s="53">
        <f>J38-J39</f>
        <v>0</v>
      </c>
    </row>
  </sheetData>
  <mergeCells count="32">
    <mergeCell ref="B32:D32"/>
    <mergeCell ref="B34:D34"/>
    <mergeCell ref="I31:J31"/>
    <mergeCell ref="I35:J35"/>
    <mergeCell ref="B28:F28"/>
    <mergeCell ref="B29:F29"/>
    <mergeCell ref="B15:F15"/>
    <mergeCell ref="L2:O2"/>
    <mergeCell ref="I2:J2"/>
    <mergeCell ref="B31:D31"/>
    <mergeCell ref="B22:F22"/>
    <mergeCell ref="B23:E23"/>
    <mergeCell ref="B24:E24"/>
    <mergeCell ref="B25:E25"/>
    <mergeCell ref="B26:F26"/>
    <mergeCell ref="B27:F27"/>
    <mergeCell ref="B13:F13"/>
    <mergeCell ref="B14:F14"/>
    <mergeCell ref="B16:F16"/>
    <mergeCell ref="B17:F17"/>
    <mergeCell ref="B18:F18"/>
    <mergeCell ref="B19:F19"/>
    <mergeCell ref="B12:F12"/>
    <mergeCell ref="B2:G2"/>
    <mergeCell ref="B3:F3"/>
    <mergeCell ref="B4:F4"/>
    <mergeCell ref="B5:F5"/>
    <mergeCell ref="B6:F6"/>
    <mergeCell ref="B7:F7"/>
    <mergeCell ref="B8:F8"/>
    <mergeCell ref="B10:G10"/>
    <mergeCell ref="B11:F1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H46"/>
  <sheetViews>
    <sheetView showGridLines="0" topLeftCell="A16" workbookViewId="0">
      <selection activeCell="I19" sqref="I19"/>
    </sheetView>
  </sheetViews>
  <sheetFormatPr defaultRowHeight="14.5" x14ac:dyDescent="0.35"/>
  <cols>
    <col min="2" max="2" width="36.6328125" customWidth="1"/>
  </cols>
  <sheetData>
    <row r="2" spans="2:8" x14ac:dyDescent="0.35">
      <c r="B2" s="17" t="s">
        <v>19</v>
      </c>
      <c r="C2" s="17" t="s">
        <v>20</v>
      </c>
      <c r="D2" s="17" t="s">
        <v>21</v>
      </c>
      <c r="E2" s="17" t="s">
        <v>22</v>
      </c>
      <c r="F2" s="17" t="s">
        <v>23</v>
      </c>
      <c r="G2" s="17" t="s">
        <v>24</v>
      </c>
      <c r="H2" s="17" t="s">
        <v>25</v>
      </c>
    </row>
    <row r="3" spans="2:8" x14ac:dyDescent="0.35">
      <c r="B3" s="1" t="s">
        <v>26</v>
      </c>
      <c r="C3" s="37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</row>
    <row r="4" spans="2:8" x14ac:dyDescent="0.35">
      <c r="B4" s="1" t="s">
        <v>27</v>
      </c>
      <c r="C4" s="38">
        <v>0.28120000000000001</v>
      </c>
      <c r="D4" s="36">
        <v>0.28960000000000002</v>
      </c>
      <c r="E4" s="36">
        <v>0.29830000000000001</v>
      </c>
      <c r="F4" s="36">
        <v>0.30719999999999997</v>
      </c>
      <c r="G4" s="36">
        <v>0.36299999999999999</v>
      </c>
      <c r="H4" s="36">
        <v>0.38100000000000001</v>
      </c>
    </row>
    <row r="5" spans="2:8" x14ac:dyDescent="0.35">
      <c r="B5" s="1" t="s">
        <v>28</v>
      </c>
      <c r="C5" s="38">
        <v>0.37180000000000002</v>
      </c>
      <c r="D5" s="36">
        <v>0.38300000000000001</v>
      </c>
      <c r="E5" s="36">
        <v>0.39450000000000002</v>
      </c>
      <c r="F5" s="36">
        <v>0.40629999999999999</v>
      </c>
      <c r="G5" s="36">
        <v>0.45100000000000001</v>
      </c>
      <c r="H5" s="36">
        <v>0.46899999999999997</v>
      </c>
    </row>
    <row r="6" spans="2:8" x14ac:dyDescent="0.35">
      <c r="B6" s="1" t="s">
        <v>29</v>
      </c>
      <c r="C6" s="38">
        <v>0.25850000000000001</v>
      </c>
      <c r="D6" s="36">
        <v>0.26629999999999998</v>
      </c>
      <c r="E6" s="36">
        <v>0.27429999999999999</v>
      </c>
      <c r="F6" s="36">
        <v>0.28249999999999997</v>
      </c>
      <c r="G6" s="36">
        <v>0.371</v>
      </c>
      <c r="H6" s="36">
        <v>0.38900000000000001</v>
      </c>
    </row>
    <row r="7" spans="2:8" x14ac:dyDescent="0.35">
      <c r="B7" s="1" t="s">
        <v>30</v>
      </c>
      <c r="C7" s="38">
        <v>7.3099999999999998E-2</v>
      </c>
      <c r="D7" s="36">
        <v>7.5300000000000006E-2</v>
      </c>
      <c r="E7" s="36">
        <v>7.7600000000000002E-2</v>
      </c>
      <c r="F7" s="36">
        <v>7.9899999999999999E-2</v>
      </c>
      <c r="G7" s="36">
        <v>0.161</v>
      </c>
      <c r="H7" s="36">
        <v>0.17899999999999999</v>
      </c>
    </row>
    <row r="8" spans="2:8" x14ac:dyDescent="0.35">
      <c r="B8" s="1" t="s">
        <v>31</v>
      </c>
      <c r="C8" s="38">
        <v>2.1600000000000001E-2</v>
      </c>
      <c r="D8" s="36">
        <v>2.2200000000000001E-2</v>
      </c>
      <c r="E8" s="36">
        <v>2.29E-2</v>
      </c>
      <c r="F8" s="36">
        <v>2.3599999999999999E-2</v>
      </c>
      <c r="G8" s="36">
        <v>0.111</v>
      </c>
      <c r="H8" s="36">
        <v>0.129</v>
      </c>
    </row>
    <row r="9" spans="2:8" x14ac:dyDescent="0.35">
      <c r="B9" s="1" t="s">
        <v>32</v>
      </c>
      <c r="C9" s="38">
        <v>9.6799999999999997E-2</v>
      </c>
      <c r="D9" s="36">
        <v>9.9699999999999997E-2</v>
      </c>
      <c r="E9" s="36">
        <v>0.1027</v>
      </c>
      <c r="F9" s="36">
        <v>0.10580000000000001</v>
      </c>
      <c r="G9" s="36">
        <v>0.184</v>
      </c>
      <c r="H9" s="36">
        <v>0.20200000000000001</v>
      </c>
    </row>
    <row r="11" spans="2:8" x14ac:dyDescent="0.35">
      <c r="B11" s="17" t="s">
        <v>33</v>
      </c>
    </row>
    <row r="12" spans="2:8" x14ac:dyDescent="0.35">
      <c r="B12" s="1" t="s">
        <v>46</v>
      </c>
    </row>
    <row r="13" spans="2:8" x14ac:dyDescent="0.35">
      <c r="B13" s="1" t="s">
        <v>34</v>
      </c>
    </row>
    <row r="15" spans="2:8" x14ac:dyDescent="0.35">
      <c r="B15" s="17" t="s">
        <v>33</v>
      </c>
    </row>
    <row r="16" spans="2:8" x14ac:dyDescent="0.35">
      <c r="B16" s="1" t="s">
        <v>35</v>
      </c>
    </row>
    <row r="17" spans="2:2" ht="14.25" customHeight="1" x14ac:dyDescent="0.35">
      <c r="B17" s="1" t="s">
        <v>36</v>
      </c>
    </row>
    <row r="19" spans="2:2" x14ac:dyDescent="0.35">
      <c r="B19" s="17" t="s">
        <v>37</v>
      </c>
    </row>
    <row r="20" spans="2:2" x14ac:dyDescent="0.35">
      <c r="B20" s="1" t="s">
        <v>38</v>
      </c>
    </row>
    <row r="21" spans="2:2" x14ac:dyDescent="0.35">
      <c r="B21" s="1" t="s">
        <v>39</v>
      </c>
    </row>
    <row r="22" spans="2:2" x14ac:dyDescent="0.35">
      <c r="B22" s="1" t="s">
        <v>40</v>
      </c>
    </row>
    <row r="23" spans="2:2" x14ac:dyDescent="0.35">
      <c r="B23" s="1" t="s">
        <v>41</v>
      </c>
    </row>
    <row r="24" spans="2:2" x14ac:dyDescent="0.35">
      <c r="B24" s="1" t="s">
        <v>42</v>
      </c>
    </row>
    <row r="25" spans="2:2" x14ac:dyDescent="0.35">
      <c r="B25" s="1" t="s">
        <v>43</v>
      </c>
    </row>
    <row r="26" spans="2:2" x14ac:dyDescent="0.35">
      <c r="B26" s="1" t="s">
        <v>44</v>
      </c>
    </row>
    <row r="28" spans="2:2" x14ac:dyDescent="0.35">
      <c r="B28" s="17" t="s">
        <v>45</v>
      </c>
    </row>
    <row r="29" spans="2:2" x14ac:dyDescent="0.35">
      <c r="B29" s="1" t="s">
        <v>46</v>
      </c>
    </row>
    <row r="30" spans="2:2" x14ac:dyDescent="0.35">
      <c r="B30" s="1" t="s">
        <v>34</v>
      </c>
    </row>
    <row r="32" spans="2:2" x14ac:dyDescent="0.35">
      <c r="B32" s="17" t="s">
        <v>47</v>
      </c>
    </row>
    <row r="33" spans="2:5" x14ac:dyDescent="0.35">
      <c r="B33" s="39">
        <v>1784</v>
      </c>
      <c r="C33" t="s">
        <v>48</v>
      </c>
    </row>
    <row r="34" spans="2:5" x14ac:dyDescent="0.35">
      <c r="B34" s="39">
        <v>1560</v>
      </c>
      <c r="C34" t="s">
        <v>49</v>
      </c>
    </row>
    <row r="35" spans="2:5" x14ac:dyDescent="0.35">
      <c r="B35" s="39">
        <v>1338</v>
      </c>
      <c r="C35" t="s">
        <v>50</v>
      </c>
    </row>
    <row r="37" spans="2:5" x14ac:dyDescent="0.35">
      <c r="B37" s="17" t="s">
        <v>51</v>
      </c>
      <c r="C37" s="17" t="s">
        <v>52</v>
      </c>
      <c r="D37" s="17" t="s">
        <v>53</v>
      </c>
      <c r="E37" s="17" t="s">
        <v>54</v>
      </c>
    </row>
    <row r="38" spans="2:5" x14ac:dyDescent="0.35">
      <c r="B38" s="1" t="s">
        <v>55</v>
      </c>
      <c r="C38" s="34">
        <v>8.5000000000000006E-2</v>
      </c>
      <c r="D38" s="33">
        <v>8.5000000000000006E-2</v>
      </c>
      <c r="E38" s="33">
        <v>8.5000000000000006E-2</v>
      </c>
    </row>
    <row r="39" spans="2:5" x14ac:dyDescent="0.35">
      <c r="B39" s="1" t="s">
        <v>56</v>
      </c>
      <c r="C39" s="34">
        <v>1.0999999999999999E-2</v>
      </c>
      <c r="D39" s="33">
        <v>1.2500000000000001E-2</v>
      </c>
      <c r="E39" s="33">
        <v>1.0999999999999999E-2</v>
      </c>
    </row>
    <row r="40" spans="2:5" x14ac:dyDescent="0.35">
      <c r="B40" s="1" t="s">
        <v>57</v>
      </c>
      <c r="C40" s="34">
        <v>1.4E-2</v>
      </c>
      <c r="D40" s="33">
        <v>1.6E-2</v>
      </c>
      <c r="E40" s="33">
        <v>1.6E-2</v>
      </c>
    </row>
    <row r="42" spans="2:5" x14ac:dyDescent="0.35">
      <c r="B42" s="17" t="s">
        <v>58</v>
      </c>
    </row>
    <row r="43" spans="2:5" x14ac:dyDescent="0.35">
      <c r="B43" s="1" t="s">
        <v>59</v>
      </c>
    </row>
    <row r="44" spans="2:5" x14ac:dyDescent="0.35">
      <c r="B44" s="1" t="s">
        <v>60</v>
      </c>
    </row>
    <row r="45" spans="2:5" x14ac:dyDescent="0.35">
      <c r="B45" s="1" t="s">
        <v>61</v>
      </c>
    </row>
    <row r="46" spans="2:5" x14ac:dyDescent="0.35">
      <c r="B46" s="1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"/>
  <sheetViews>
    <sheetView showGridLines="0" workbookViewId="0">
      <pane xSplit="8" topLeftCell="J1" activePane="topRight" state="frozen"/>
      <selection pane="topRight" activeCell="F5" sqref="F5"/>
    </sheetView>
  </sheetViews>
  <sheetFormatPr defaultRowHeight="14.5" x14ac:dyDescent="0.35"/>
  <cols>
    <col min="3" max="3" width="38.90625" customWidth="1"/>
    <col min="4" max="4" width="20.36328125" customWidth="1"/>
    <col min="6" max="6" width="14.36328125" customWidth="1"/>
    <col min="7" max="7" width="16.1796875" hidden="1" customWidth="1"/>
    <col min="8" max="8" width="3.6328125" customWidth="1"/>
    <col min="9" max="9" width="19.90625" customWidth="1"/>
    <col min="10" max="10" width="3.81640625" customWidth="1"/>
    <col min="11" max="11" width="15" customWidth="1"/>
    <col min="12" max="12" width="13.1796875" customWidth="1"/>
    <col min="13" max="13" width="4.08984375" customWidth="1"/>
    <col min="14" max="14" width="17.81640625" customWidth="1"/>
    <col min="15" max="15" width="4.08984375" customWidth="1"/>
    <col min="16" max="16" width="16.54296875" customWidth="1"/>
    <col min="17" max="17" width="17.08984375" customWidth="1"/>
    <col min="18" max="18" width="3.81640625" customWidth="1"/>
    <col min="19" max="19" width="47.54296875" customWidth="1"/>
  </cols>
  <sheetData>
    <row r="2" spans="2:19" x14ac:dyDescent="0.35">
      <c r="B2" s="68" t="str">
        <f>"FY"&amp;" "&amp;('Center Information'!C7)</f>
        <v xml:space="preserve">FY </v>
      </c>
      <c r="C2" s="70" t="s">
        <v>78</v>
      </c>
    </row>
    <row r="3" spans="2:19" x14ac:dyDescent="0.35">
      <c r="B3" s="69"/>
      <c r="C3" s="71"/>
      <c r="I3" s="17" t="s">
        <v>69</v>
      </c>
      <c r="K3" s="67" t="s">
        <v>71</v>
      </c>
      <c r="L3" s="67"/>
      <c r="N3" s="18" t="s">
        <v>73</v>
      </c>
      <c r="P3" s="67" t="s">
        <v>75</v>
      </c>
      <c r="Q3" s="67"/>
    </row>
    <row r="4" spans="2:19" ht="28.25" customHeight="1" x14ac:dyDescent="0.35">
      <c r="B4" s="11" t="s">
        <v>63</v>
      </c>
      <c r="C4" s="14" t="s">
        <v>64</v>
      </c>
      <c r="D4" s="14" t="s">
        <v>65</v>
      </c>
      <c r="E4" s="15" t="s">
        <v>66</v>
      </c>
      <c r="F4" s="14" t="s">
        <v>67</v>
      </c>
      <c r="G4" s="1" t="s">
        <v>68</v>
      </c>
      <c r="I4" s="11" t="s">
        <v>70</v>
      </c>
      <c r="K4" s="14" t="s">
        <v>217</v>
      </c>
      <c r="L4" s="14" t="s">
        <v>72</v>
      </c>
      <c r="N4" s="15" t="s">
        <v>74</v>
      </c>
      <c r="P4" s="15" t="s">
        <v>76</v>
      </c>
      <c r="Q4" s="14" t="s">
        <v>182</v>
      </c>
      <c r="S4" s="19" t="s">
        <v>77</v>
      </c>
    </row>
    <row r="5" spans="2:19" x14ac:dyDescent="0.35">
      <c r="B5" s="1">
        <v>1</v>
      </c>
      <c r="C5" s="2"/>
      <c r="D5" s="1"/>
      <c r="E5" s="1"/>
      <c r="F5" s="1"/>
      <c r="G5" s="1" t="str">
        <f>B5&amp;":"&amp;C5&amp;" - "&amp;E5</f>
        <v xml:space="preserve">1: - </v>
      </c>
      <c r="I5" s="10">
        <f>IF((N5+P5+Q5)&lt;=L5,(N5+P5+Q5),"Error-See Notes")</f>
        <v>0</v>
      </c>
      <c r="K5" s="1"/>
      <c r="L5" s="10">
        <f>IF(F5="Yes",'Personnel Costs'!D11,K5)</f>
        <v>0</v>
      </c>
      <c r="N5" s="1"/>
      <c r="P5" s="1"/>
      <c r="Q5" s="1"/>
      <c r="S5" s="16" t="str">
        <f>IF((N5+P5+Q5)&lt;=L5,"None","Forecast &gt; Capacity by "&amp;(N5+P5+Q5-L5)&amp;" "&amp;E5&amp;"s")</f>
        <v>None</v>
      </c>
    </row>
  </sheetData>
  <mergeCells count="4">
    <mergeCell ref="K3:L3"/>
    <mergeCell ref="P3:Q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Rates!$B$20:$B$26</xm:f>
          </x14:formula1>
          <xm:sqref>E5</xm:sqref>
        </x14:dataValidation>
        <x14:dataValidation type="list" allowBlank="1" showInputMessage="1" showErrorMessage="1" xr:uid="{00000000-0002-0000-0100-000001000000}">
          <x14:formula1>
            <xm:f>Rates!$B$29:$B$30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showGridLines="0" workbookViewId="0">
      <pane xSplit="2" topLeftCell="C1" activePane="topRight" state="frozen"/>
      <selection pane="topRight" activeCell="H12" sqref="H12"/>
    </sheetView>
  </sheetViews>
  <sheetFormatPr defaultRowHeight="14.5" x14ac:dyDescent="0.35"/>
  <cols>
    <col min="2" max="2" width="34.1796875" customWidth="1"/>
    <col min="3" max="3" width="13.36328125" customWidth="1"/>
    <col min="4" max="4" width="15" bestFit="1" customWidth="1"/>
    <col min="5" max="5" width="14" customWidth="1"/>
  </cols>
  <sheetData>
    <row r="2" spans="2:5" x14ac:dyDescent="0.35">
      <c r="B2" s="17" t="s">
        <v>79</v>
      </c>
      <c r="C2" s="17">
        <v>1</v>
      </c>
      <c r="D2" s="17">
        <f>C2+1</f>
        <v>2</v>
      </c>
      <c r="E2" s="17">
        <f>D2+1</f>
        <v>3</v>
      </c>
    </row>
    <row r="3" spans="2:5" x14ac:dyDescent="0.35">
      <c r="B3" s="11" t="s">
        <v>80</v>
      </c>
      <c r="C3" s="1"/>
      <c r="D3" s="1"/>
      <c r="E3" s="1"/>
    </row>
    <row r="4" spans="2:5" x14ac:dyDescent="0.35">
      <c r="B4" s="11" t="s">
        <v>81</v>
      </c>
      <c r="C4" s="1"/>
      <c r="D4" s="1"/>
      <c r="E4" s="1"/>
    </row>
    <row r="5" spans="2:5" x14ac:dyDescent="0.35">
      <c r="B5" s="11" t="s">
        <v>82</v>
      </c>
      <c r="C5" s="34">
        <v>0</v>
      </c>
      <c r="D5" s="34">
        <v>0</v>
      </c>
      <c r="E5" s="34">
        <v>0</v>
      </c>
    </row>
    <row r="6" spans="2:5" x14ac:dyDescent="0.35">
      <c r="B6" s="11" t="s">
        <v>83</v>
      </c>
      <c r="C6" s="5">
        <v>0</v>
      </c>
      <c r="D6" s="5">
        <v>0</v>
      </c>
      <c r="E6" s="5">
        <v>0</v>
      </c>
    </row>
    <row r="7" spans="2:5" ht="43.75" customHeight="1" x14ac:dyDescent="0.35">
      <c r="B7" s="11" t="s">
        <v>19</v>
      </c>
      <c r="C7" s="2" t="s">
        <v>26</v>
      </c>
      <c r="D7" s="2" t="s">
        <v>26</v>
      </c>
      <c r="E7" s="2" t="s">
        <v>26</v>
      </c>
    </row>
    <row r="8" spans="2:5" x14ac:dyDescent="0.35">
      <c r="B8" s="11" t="s">
        <v>84</v>
      </c>
      <c r="C8" s="49">
        <f>VLOOKUP(C7,Rates!$B$3:$H$9,2,FALSE)</f>
        <v>0</v>
      </c>
      <c r="D8" s="49">
        <f>VLOOKUP(D7,Rates!$B$3:$H$9,2,FALSE)</f>
        <v>0</v>
      </c>
      <c r="E8" s="49">
        <f>VLOOKUP(E7,Rates!$B$3:$H$9,2,FALSE)</f>
        <v>0</v>
      </c>
    </row>
    <row r="9" spans="2:5" x14ac:dyDescent="0.35">
      <c r="B9" s="11" t="s">
        <v>90</v>
      </c>
      <c r="C9" s="21">
        <f>(C6*(1+C8))</f>
        <v>0</v>
      </c>
      <c r="D9" s="21">
        <f t="shared" ref="D9:E9" si="0">(D6*(1+D8))</f>
        <v>0</v>
      </c>
      <c r="E9" s="21">
        <f t="shared" si="0"/>
        <v>0</v>
      </c>
    </row>
    <row r="10" spans="2:5" x14ac:dyDescent="0.35">
      <c r="B10" s="11" t="s">
        <v>85</v>
      </c>
      <c r="C10" s="34">
        <v>0</v>
      </c>
      <c r="D10" s="34">
        <v>0</v>
      </c>
      <c r="E10" s="34">
        <v>0</v>
      </c>
    </row>
    <row r="11" spans="2:5" x14ac:dyDescent="0.35">
      <c r="B11" s="11" t="s">
        <v>87</v>
      </c>
      <c r="C11" s="21">
        <f>C13/(1+C8)</f>
        <v>0</v>
      </c>
      <c r="D11" s="21">
        <f t="shared" ref="D11:E11" si="1">D13/(1+D8)</f>
        <v>0</v>
      </c>
      <c r="E11" s="21">
        <f t="shared" si="1"/>
        <v>0</v>
      </c>
    </row>
    <row r="12" spans="2:5" x14ac:dyDescent="0.35">
      <c r="B12" s="11" t="s">
        <v>88</v>
      </c>
      <c r="C12" s="21">
        <f>C13-C11</f>
        <v>0</v>
      </c>
      <c r="D12" s="21">
        <f t="shared" ref="D12:E12" si="2">D13-D11</f>
        <v>0</v>
      </c>
      <c r="E12" s="21">
        <f t="shared" si="2"/>
        <v>0</v>
      </c>
    </row>
    <row r="13" spans="2:5" x14ac:dyDescent="0.35">
      <c r="B13" s="11" t="s">
        <v>86</v>
      </c>
      <c r="C13" s="45">
        <f>ROUND(C9*C10,0)</f>
        <v>0</v>
      </c>
      <c r="D13" s="45">
        <f t="shared" ref="D13:E13" si="3">ROUND(D9*D10,0)</f>
        <v>0</v>
      </c>
      <c r="E13" s="45">
        <f t="shared" si="3"/>
        <v>0</v>
      </c>
    </row>
    <row r="14" spans="2:5" x14ac:dyDescent="0.35">
      <c r="B14" s="11" t="s">
        <v>89</v>
      </c>
      <c r="C14" s="10">
        <f>ROUND(Rates!$B$33*(C5/1)*(C10/1),0)</f>
        <v>0</v>
      </c>
      <c r="D14" s="10">
        <f>ROUND(Rates!$B$33*(D5/1)*(D10/1),0)</f>
        <v>0</v>
      </c>
      <c r="E14" s="10">
        <f>ROUND(Rates!$B$33*(E5/1)*(E10/1),0)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Rates!$B$3:$B$9</xm:f>
          </x14:formula1>
          <xm:sqref>C7:E7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1"/>
  <sheetViews>
    <sheetView showGridLines="0" workbookViewId="0">
      <pane xSplit="5" topLeftCell="F1" activePane="topRight" state="frozen"/>
      <selection pane="topRight" activeCell="F6" sqref="F6"/>
    </sheetView>
  </sheetViews>
  <sheetFormatPr defaultRowHeight="14.5" x14ac:dyDescent="0.35"/>
  <cols>
    <col min="2" max="2" width="18.36328125" customWidth="1"/>
    <col min="3" max="3" width="13.81640625" customWidth="1"/>
    <col min="4" max="4" width="15" customWidth="1"/>
    <col min="5" max="5" width="2.36328125" customWidth="1"/>
    <col min="6" max="6" width="16.54296875" customWidth="1"/>
    <col min="7" max="7" width="16.6328125" customWidth="1"/>
    <col min="8" max="8" width="18.08984375" customWidth="1"/>
  </cols>
  <sheetData>
    <row r="2" spans="2:8" x14ac:dyDescent="0.35">
      <c r="F2" s="18">
        <v>1</v>
      </c>
      <c r="G2" s="18">
        <f>F2+1</f>
        <v>2</v>
      </c>
      <c r="H2" s="18">
        <f>G2+1</f>
        <v>3</v>
      </c>
    </row>
    <row r="3" spans="2:8" x14ac:dyDescent="0.35">
      <c r="F3" s="15">
        <f>Personnel!C3</f>
        <v>0</v>
      </c>
      <c r="G3" s="15">
        <f>Personnel!D3</f>
        <v>0</v>
      </c>
      <c r="H3" s="15">
        <f>Personnel!E3</f>
        <v>0</v>
      </c>
    </row>
    <row r="4" spans="2:8" x14ac:dyDescent="0.35">
      <c r="D4" s="11" t="s">
        <v>91</v>
      </c>
      <c r="F4" s="16">
        <f>IFERROR(HLOOKUP(F2,Personnel!$B$2:$ZE$14,13,FALSE),0)</f>
        <v>0</v>
      </c>
      <c r="G4" s="16">
        <f>IFERROR(HLOOKUP(G2,Personnel!$B$2:$ZE$14,13,FALSE),0)</f>
        <v>0</v>
      </c>
      <c r="H4" s="16">
        <f>IFERROR(HLOOKUP(H2,Personnel!$B$2:$ZE$14,13,FALSE),0)</f>
        <v>0</v>
      </c>
    </row>
    <row r="5" spans="2:8" x14ac:dyDescent="0.35">
      <c r="D5" s="11" t="s">
        <v>92</v>
      </c>
      <c r="F5" s="40">
        <f>IFERROR(HLOOKUP(F2,Personnel!$B$2:$ZE$14,12,FALSE),0)</f>
        <v>0</v>
      </c>
      <c r="G5" s="40">
        <f>IFERROR(HLOOKUP(G2,Personnel!$B$2:$ZE$14,12,FALSE),0)</f>
        <v>0</v>
      </c>
      <c r="H5" s="40">
        <f>IFERROR(HLOOKUP(H2,Personnel!$B$2:$ZE$14,12,FALSE),0)</f>
        <v>0</v>
      </c>
    </row>
    <row r="6" spans="2:8" ht="28.75" customHeight="1" x14ac:dyDescent="0.35">
      <c r="D6" s="11" t="s">
        <v>93</v>
      </c>
      <c r="F6" s="22" t="str">
        <f>IF(F8&gt;1, "Reduce Allocation by "&amp;ROUND(((F8-1)*100),2)&amp;"%",IF(F8&lt;1,"Increase Allocation by "&amp;ROUND(((1-F8)*100),2)&amp;"%","No Notes"))</f>
        <v>Increase Allocation by 100%</v>
      </c>
      <c r="G6" s="22" t="str">
        <f t="shared" ref="G6:H6" si="0">IF(G8&gt;1, "Reduce Allocation by "&amp;ROUND(((G8-1)*100),2)&amp;"%",IF(G8&lt;1,"Increase Allocation by "&amp;ROUND(((1-G8)*100),2)&amp;"%","No Notes"))</f>
        <v>Increase Allocation by 100%</v>
      </c>
      <c r="H6" s="22" t="str">
        <f t="shared" si="0"/>
        <v>Increase Allocation by 100%</v>
      </c>
    </row>
    <row r="7" spans="2:8" ht="11.4" customHeight="1" x14ac:dyDescent="0.35"/>
    <row r="8" spans="2:8" ht="29.4" customHeight="1" x14ac:dyDescent="0.35">
      <c r="B8" s="15" t="s">
        <v>96</v>
      </c>
      <c r="C8" s="14" t="s">
        <v>95</v>
      </c>
      <c r="D8" s="14" t="s">
        <v>94</v>
      </c>
      <c r="F8" s="23">
        <f>SUM(F9:F169)</f>
        <v>0</v>
      </c>
      <c r="G8" s="23">
        <f t="shared" ref="G8:H8" si="1">SUM(G9:G169)</f>
        <v>0</v>
      </c>
      <c r="H8" s="23">
        <f t="shared" si="1"/>
        <v>0</v>
      </c>
    </row>
    <row r="9" spans="2:8" x14ac:dyDescent="0.35">
      <c r="B9" s="10" t="s">
        <v>97</v>
      </c>
      <c r="C9" s="21">
        <f>SUMPRODUCT($F$5:$ZJ$5,F9:ZJ9)</f>
        <v>0</v>
      </c>
      <c r="D9" s="10">
        <f>ROUND(SUMPRODUCT($F4:$ZJ4,F9:ZJ9),0)</f>
        <v>0</v>
      </c>
      <c r="F9" s="34"/>
      <c r="G9" s="34"/>
      <c r="H9" s="34"/>
    </row>
    <row r="10" spans="2:8" ht="9.65" customHeight="1" x14ac:dyDescent="0.35"/>
    <row r="11" spans="2:8" x14ac:dyDescent="0.35">
      <c r="B11" s="10" t="str">
        <f>Activities!B5&amp;":"&amp;" "&amp;Activities!C5</f>
        <v xml:space="preserve">1: </v>
      </c>
      <c r="C11" s="21">
        <f>SUMPRODUCT($F$5:$ZJ$5,F11:ZJ11)</f>
        <v>0</v>
      </c>
      <c r="D11" s="10">
        <f>IF(Activities!F5="Yes",ROUND(SUMPRODUCT($F$4:$ZJ$4,F11:ZJ11),0),0)</f>
        <v>0</v>
      </c>
      <c r="F11" s="34"/>
      <c r="G11" s="34"/>
      <c r="H11" s="3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3"/>
  <sheetViews>
    <sheetView showGridLines="0" workbookViewId="0">
      <pane xSplit="2" topLeftCell="C1" activePane="topRight" state="frozen"/>
      <selection pane="topRight" activeCell="C2" sqref="C2"/>
    </sheetView>
  </sheetViews>
  <sheetFormatPr defaultRowHeight="14.5" x14ac:dyDescent="0.35"/>
  <cols>
    <col min="2" max="2" width="34.54296875" customWidth="1"/>
    <col min="3" max="3" width="12.90625" customWidth="1"/>
    <col min="4" max="4" width="11.08984375" customWidth="1"/>
  </cols>
  <sheetData>
    <row r="2" spans="2:4" x14ac:dyDescent="0.35">
      <c r="B2" s="17" t="s">
        <v>98</v>
      </c>
      <c r="C2" s="17">
        <v>1</v>
      </c>
      <c r="D2" s="17">
        <f>C2+1</f>
        <v>2</v>
      </c>
    </row>
    <row r="3" spans="2:4" x14ac:dyDescent="0.35">
      <c r="B3" s="11" t="s">
        <v>99</v>
      </c>
      <c r="C3" s="1"/>
      <c r="D3" s="1"/>
    </row>
    <row r="4" spans="2:4" x14ac:dyDescent="0.35">
      <c r="B4" s="11" t="s">
        <v>100</v>
      </c>
      <c r="C4" s="1"/>
      <c r="D4" s="1"/>
    </row>
    <row r="5" spans="2:4" x14ac:dyDescent="0.35">
      <c r="B5" s="11" t="s">
        <v>101</v>
      </c>
      <c r="C5" s="1"/>
      <c r="D5" s="1"/>
    </row>
    <row r="6" spans="2:4" x14ac:dyDescent="0.35">
      <c r="B6" s="11" t="s">
        <v>102</v>
      </c>
      <c r="C6" s="1"/>
      <c r="D6" s="1"/>
    </row>
    <row r="7" spans="2:4" x14ac:dyDescent="0.35">
      <c r="B7" s="11" t="s">
        <v>103</v>
      </c>
      <c r="C7" s="1"/>
      <c r="D7" s="1"/>
    </row>
    <row r="8" spans="2:4" x14ac:dyDescent="0.35">
      <c r="B8" s="11" t="s">
        <v>104</v>
      </c>
      <c r="C8" s="1"/>
      <c r="D8" s="1"/>
    </row>
    <row r="9" spans="2:4" x14ac:dyDescent="0.35">
      <c r="B9" s="11" t="s">
        <v>105</v>
      </c>
      <c r="C9" s="1"/>
      <c r="D9" s="1"/>
    </row>
    <row r="10" spans="2:4" x14ac:dyDescent="0.35">
      <c r="B10" s="11" t="s">
        <v>106</v>
      </c>
      <c r="C10" s="1"/>
      <c r="D10" s="1"/>
    </row>
    <row r="11" spans="2:4" x14ac:dyDescent="0.35">
      <c r="B11" s="11" t="s">
        <v>107</v>
      </c>
      <c r="C11" s="1" t="s">
        <v>34</v>
      </c>
      <c r="D11" s="1" t="s">
        <v>34</v>
      </c>
    </row>
    <row r="12" spans="2:4" x14ac:dyDescent="0.35">
      <c r="B12" s="11" t="s">
        <v>108</v>
      </c>
      <c r="C12" s="4">
        <v>0</v>
      </c>
      <c r="D12" s="4">
        <v>0</v>
      </c>
    </row>
    <row r="13" spans="2:4" x14ac:dyDescent="0.35">
      <c r="B13" s="11" t="s">
        <v>109</v>
      </c>
      <c r="C13" s="21">
        <f>IF(AND(C10&lt;&gt;0,C11="Yes"),((C9/C10)*C12),0)</f>
        <v>0</v>
      </c>
      <c r="D13" s="21">
        <f>IF(AND(D10&lt;&gt;0,D11="Yes"),((D9/D10)*D12),0)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Rates!$B$12:$B$13</xm:f>
          </x14:formula1>
          <xm:sqref>C11:D11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8"/>
  <sheetViews>
    <sheetView showGridLines="0" workbookViewId="0">
      <pane xSplit="4" topLeftCell="E1" activePane="topRight" state="frozen"/>
      <selection pane="topRight" activeCell="E5" sqref="E5"/>
    </sheetView>
  </sheetViews>
  <sheetFormatPr defaultRowHeight="14.5" x14ac:dyDescent="0.35"/>
  <cols>
    <col min="2" max="2" width="20.36328125" customWidth="1"/>
    <col min="3" max="3" width="19.08984375" customWidth="1"/>
    <col min="4" max="4" width="3" customWidth="1"/>
    <col min="5" max="5" width="18.453125" customWidth="1"/>
    <col min="6" max="6" width="15.1796875" customWidth="1"/>
  </cols>
  <sheetData>
    <row r="2" spans="2:6" x14ac:dyDescent="0.35">
      <c r="E2" s="18">
        <v>1</v>
      </c>
      <c r="F2" s="18">
        <f>E2+1</f>
        <v>2</v>
      </c>
    </row>
    <row r="3" spans="2:6" x14ac:dyDescent="0.35">
      <c r="E3" s="15">
        <f>'Capital Equipment'!C3</f>
        <v>0</v>
      </c>
      <c r="F3" s="15">
        <f>'Capital Equipment'!D3</f>
        <v>0</v>
      </c>
    </row>
    <row r="4" spans="2:6" x14ac:dyDescent="0.35">
      <c r="C4" s="11" t="s">
        <v>92</v>
      </c>
      <c r="E4" s="21">
        <f>IFERROR(HLOOKUP(E2,'Capital Equipment'!$C$2:$ZZ$13,12,FALSE),0)</f>
        <v>0</v>
      </c>
      <c r="F4" s="21">
        <f>IFERROR(HLOOKUP(F2,'Capital Equipment'!$C$2:$ZZ$13,12,FALSE),0)</f>
        <v>0</v>
      </c>
    </row>
    <row r="5" spans="2:6" ht="29.4" customHeight="1" x14ac:dyDescent="0.35">
      <c r="C5" s="11" t="s">
        <v>93</v>
      </c>
      <c r="E5" s="22" t="str">
        <f>IF(E7&gt;1,"Reduce Allocation by "&amp;ROUND(((E7-1)*100),2)&amp;"%",IF(E7&lt;1,"Increase Allocation by "&amp;ROUND(((1-E7)*100),2)&amp;"%","No Notes"))</f>
        <v>Increase Allocation by 100%</v>
      </c>
      <c r="F5" s="22" t="str">
        <f>IF(F7&gt;1,"Reduce Allocation by "&amp;ROUND(((F7-1)*100),2)&amp;"%",IF(F7&lt;1,"Increase Allocation by "&amp;ROUND(((1-F7)*100),2)&amp;"%","No Notes"))</f>
        <v>Increase Allocation by 100%</v>
      </c>
    </row>
    <row r="6" spans="2:6" ht="7.25" customHeight="1" x14ac:dyDescent="0.35"/>
    <row r="7" spans="2:6" x14ac:dyDescent="0.35">
      <c r="B7" s="11" t="s">
        <v>96</v>
      </c>
      <c r="C7" s="11" t="s">
        <v>218</v>
      </c>
      <c r="E7" s="23">
        <f>SUM(E8:E199)</f>
        <v>0</v>
      </c>
      <c r="F7" s="23">
        <f>SUM(F8:F199)</f>
        <v>0</v>
      </c>
    </row>
    <row r="8" spans="2:6" x14ac:dyDescent="0.35">
      <c r="B8" s="10" t="str">
        <f>Activities!B5&amp;":"&amp;" "&amp;Activities!C5</f>
        <v xml:space="preserve">1: </v>
      </c>
      <c r="C8" s="21">
        <f>SUMPRODUCT($E$4:$ZZ$4,E8:ZZ8)</f>
        <v>0</v>
      </c>
      <c r="E8" s="4"/>
      <c r="F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W8"/>
  <sheetViews>
    <sheetView showGridLines="0" workbookViewId="0">
      <pane xSplit="6" topLeftCell="G1" activePane="topRight" state="frozen"/>
      <selection pane="topRight" activeCell="O9" sqref="O9"/>
    </sheetView>
  </sheetViews>
  <sheetFormatPr defaultRowHeight="14.5" x14ac:dyDescent="0.35"/>
  <cols>
    <col min="2" max="2" width="20" customWidth="1"/>
    <col min="3" max="3" width="11.90625" customWidth="1"/>
    <col min="4" max="4" width="11.1796875" customWidth="1"/>
    <col min="5" max="5" width="10.6328125" customWidth="1"/>
    <col min="6" max="6" width="3.81640625" customWidth="1"/>
    <col min="7" max="7" width="8.6328125" customWidth="1"/>
    <col min="8" max="8" width="10.90625" customWidth="1"/>
    <col min="9" max="9" width="4.54296875" customWidth="1"/>
    <col min="15" max="15" width="12" customWidth="1"/>
  </cols>
  <sheetData>
    <row r="2" spans="2:23" x14ac:dyDescent="0.35">
      <c r="D2" s="74" t="s">
        <v>118</v>
      </c>
      <c r="E2" s="74"/>
      <c r="G2" s="76">
        <v>7000</v>
      </c>
      <c r="H2" s="77"/>
      <c r="I2" s="6"/>
      <c r="J2" s="58">
        <v>7200</v>
      </c>
      <c r="K2" s="58"/>
      <c r="L2" s="58">
        <v>7202</v>
      </c>
      <c r="M2" s="58"/>
      <c r="N2" s="58">
        <v>7203</v>
      </c>
      <c r="O2" s="58"/>
      <c r="P2" s="58">
        <v>7204</v>
      </c>
      <c r="Q2" s="58"/>
      <c r="R2" s="58">
        <v>7205</v>
      </c>
      <c r="S2" s="58"/>
      <c r="T2" s="58">
        <v>7207</v>
      </c>
      <c r="U2" s="58"/>
      <c r="V2" s="58">
        <v>7221</v>
      </c>
      <c r="W2" s="58"/>
    </row>
    <row r="3" spans="2:23" x14ac:dyDescent="0.35">
      <c r="D3" s="74"/>
      <c r="E3" s="74"/>
      <c r="G3" s="78" t="s">
        <v>214</v>
      </c>
      <c r="H3" s="79"/>
      <c r="I3" s="6"/>
      <c r="J3" s="73" t="s">
        <v>111</v>
      </c>
      <c r="K3" s="73"/>
      <c r="L3" s="73" t="s">
        <v>112</v>
      </c>
      <c r="M3" s="73"/>
      <c r="N3" s="73" t="s">
        <v>113</v>
      </c>
      <c r="O3" s="73"/>
      <c r="P3" s="73" t="s">
        <v>114</v>
      </c>
      <c r="Q3" s="73"/>
      <c r="R3" s="73" t="s">
        <v>115</v>
      </c>
      <c r="S3" s="73"/>
      <c r="T3" s="73" t="s">
        <v>116</v>
      </c>
      <c r="U3" s="73"/>
      <c r="V3" s="73" t="s">
        <v>117</v>
      </c>
      <c r="W3" s="73"/>
    </row>
    <row r="4" spans="2:23" x14ac:dyDescent="0.35">
      <c r="D4" s="72">
        <f>K4+M4+O4+Q4+S4+U4+W4</f>
        <v>0</v>
      </c>
      <c r="E4" s="72"/>
      <c r="G4" s="20">
        <v>0</v>
      </c>
      <c r="H4" s="5">
        <v>0</v>
      </c>
      <c r="I4" s="3"/>
      <c r="J4" s="20">
        <f>SUM(J8:J175)</f>
        <v>0</v>
      </c>
      <c r="K4" s="5">
        <v>0</v>
      </c>
      <c r="L4" s="20">
        <f>SUM(L8:L175)</f>
        <v>0</v>
      </c>
      <c r="M4" s="5">
        <v>0</v>
      </c>
      <c r="N4" s="20">
        <f>SUM(N8:N175)</f>
        <v>0</v>
      </c>
      <c r="O4" s="5">
        <v>0</v>
      </c>
      <c r="P4" s="20">
        <f>SUM(P8:P175)</f>
        <v>0</v>
      </c>
      <c r="Q4" s="5">
        <v>0</v>
      </c>
      <c r="R4" s="20">
        <f>SUM(R8:R175)</f>
        <v>0</v>
      </c>
      <c r="S4" s="5">
        <v>0</v>
      </c>
      <c r="T4" s="20">
        <f>SUM(T8:T175)</f>
        <v>0</v>
      </c>
      <c r="U4" s="5">
        <v>0</v>
      </c>
      <c r="V4" s="20">
        <f>SUM(V8:V175)</f>
        <v>0</v>
      </c>
      <c r="W4" s="5">
        <v>0</v>
      </c>
    </row>
    <row r="5" spans="2:23" ht="30.65" customHeight="1" x14ac:dyDescent="0.35">
      <c r="G5" s="75" t="str">
        <f>IF(G4&gt;1,"Reduce Allocation by "&amp;ROUND(((G4-1)*100),2)&amp;"%",IF(G4&lt;1, "Increase Allocation by "&amp;ROUND(((1-G4)*100),2)&amp;"%","No Notes"))</f>
        <v>Increase Allocation by 100%</v>
      </c>
      <c r="H5" s="75"/>
      <c r="I5" s="46"/>
      <c r="J5" s="75" t="str">
        <f>IF(J4&gt;1,"Reduce Allocation by "&amp;ROUND(((J4-1)*100),2)&amp;"%",IF(J4&lt;1,"Increase Allocation by "&amp;ROUND(((1-J4)*100),2)&amp;"%","No Notes"))</f>
        <v>Increase Allocation by 100%</v>
      </c>
      <c r="K5" s="75"/>
      <c r="L5" s="75" t="str">
        <f t="shared" ref="L5" si="0">IF(L4&gt;1,"Reduce Allocation by "&amp;ROUND(((L4-1)*100),2)&amp;"%",IF(L4&lt;1,"Increase Allocation by "&amp;ROUND(((1-L4)*100),2)&amp;"%","No Notes"))</f>
        <v>Increase Allocation by 100%</v>
      </c>
      <c r="M5" s="75"/>
      <c r="N5" s="75" t="str">
        <f t="shared" ref="N5" si="1">IF(N4&gt;1,"Reduce Allocation by "&amp;ROUND(((N4-1)*100),2)&amp;"%",IF(N4&lt;1,"Increase Allocation by "&amp;ROUND(((1-N4)*100),2)&amp;"%","No Notes"))</f>
        <v>Increase Allocation by 100%</v>
      </c>
      <c r="O5" s="75"/>
      <c r="P5" s="75" t="str">
        <f t="shared" ref="P5" si="2">IF(P4&gt;1,"Reduce Allocation by "&amp;ROUND(((P4-1)*100),2)&amp;"%",IF(P4&lt;1,"Increase Allocation by "&amp;ROUND(((1-P4)*100),2)&amp;"%","No Notes"))</f>
        <v>Increase Allocation by 100%</v>
      </c>
      <c r="Q5" s="75"/>
      <c r="R5" s="75" t="str">
        <f t="shared" ref="R5" si="3">IF(R4&gt;1,"Reduce Allocation by "&amp;ROUND(((R4-1)*100),2)&amp;"%",IF(R4&lt;1,"Increase Allocation by "&amp;ROUND(((1-R4)*100),2)&amp;"%","No Notes"))</f>
        <v>Increase Allocation by 100%</v>
      </c>
      <c r="S5" s="75"/>
      <c r="T5" s="75" t="str">
        <f t="shared" ref="T5" si="4">IF(T4&gt;1,"Reduce Allocation by "&amp;ROUND(((T4-1)*100),2)&amp;"%",IF(T4&lt;1,"Increase Allocation by "&amp;ROUND(((1-T4)*100),2)&amp;"%","No Notes"))</f>
        <v>Increase Allocation by 100%</v>
      </c>
      <c r="U5" s="75"/>
      <c r="V5" s="75" t="str">
        <f t="shared" ref="V5" si="5">IF(V4&gt;1,"Reduce Allocation by "&amp;ROUND(((V4-1)*100),2)&amp;"%",IF(V4&lt;1,"Increase Allocation by "&amp;ROUND(((1-V4)*100),2)&amp;"%","No Notes"))</f>
        <v>Increase Allocation by 100%</v>
      </c>
      <c r="W5" s="75"/>
    </row>
    <row r="6" spans="2:23" ht="8.4" customHeight="1" x14ac:dyDescent="0.35"/>
    <row r="7" spans="2:23" ht="42" customHeight="1" x14ac:dyDescent="0.35">
      <c r="B7" s="15" t="s">
        <v>96</v>
      </c>
      <c r="C7" s="14" t="s">
        <v>119</v>
      </c>
      <c r="D7" s="14" t="s">
        <v>70</v>
      </c>
      <c r="E7" s="14" t="s">
        <v>120</v>
      </c>
      <c r="G7" s="14" t="s">
        <v>121</v>
      </c>
      <c r="H7" s="14" t="s">
        <v>92</v>
      </c>
      <c r="I7" s="46"/>
      <c r="J7" s="14" t="s">
        <v>121</v>
      </c>
      <c r="K7" s="14" t="s">
        <v>92</v>
      </c>
      <c r="L7" s="14" t="s">
        <v>121</v>
      </c>
      <c r="M7" s="14" t="s">
        <v>92</v>
      </c>
      <c r="N7" s="14" t="s">
        <v>121</v>
      </c>
      <c r="O7" s="14" t="s">
        <v>92</v>
      </c>
      <c r="P7" s="14" t="s">
        <v>121</v>
      </c>
      <c r="Q7" s="14" t="s">
        <v>92</v>
      </c>
      <c r="R7" s="14" t="s">
        <v>121</v>
      </c>
      <c r="S7" s="14" t="s">
        <v>92</v>
      </c>
      <c r="T7" s="14" t="s">
        <v>121</v>
      </c>
      <c r="U7" s="14" t="s">
        <v>92</v>
      </c>
      <c r="V7" s="14" t="s">
        <v>121</v>
      </c>
      <c r="W7" s="14" t="s">
        <v>92</v>
      </c>
    </row>
    <row r="8" spans="2:23" x14ac:dyDescent="0.35">
      <c r="B8" s="10" t="str">
        <f>Activities!B5&amp;":"&amp;" "&amp;Activities!C5</f>
        <v xml:space="preserve">1: </v>
      </c>
      <c r="C8" s="21">
        <f>SUMIF(J8:AAC8,"&gt;1",J8:AAC8)</f>
        <v>0</v>
      </c>
      <c r="D8" s="10">
        <f>Activities!I5</f>
        <v>0</v>
      </c>
      <c r="E8" s="21">
        <f>IFERROR(C8/D8,0)</f>
        <v>0</v>
      </c>
      <c r="G8" s="34"/>
      <c r="H8" s="21">
        <f>G8*H$4</f>
        <v>0</v>
      </c>
      <c r="I8" s="3"/>
      <c r="J8" s="4"/>
      <c r="K8" s="21">
        <f>J8*K$4</f>
        <v>0</v>
      </c>
      <c r="L8" s="4"/>
      <c r="M8" s="21">
        <f>L8*M$4</f>
        <v>0</v>
      </c>
      <c r="N8" s="4"/>
      <c r="O8" s="21">
        <f>N8*O$4</f>
        <v>0</v>
      </c>
      <c r="P8" s="4"/>
      <c r="Q8" s="21">
        <f>P8*Q$4</f>
        <v>0</v>
      </c>
      <c r="R8" s="4"/>
      <c r="S8" s="21">
        <f>R8*S$4</f>
        <v>0</v>
      </c>
      <c r="T8" s="4"/>
      <c r="U8" s="21">
        <f>T8*U$4</f>
        <v>0</v>
      </c>
      <c r="V8" s="4"/>
      <c r="W8" s="21">
        <f>V8*W$4</f>
        <v>0</v>
      </c>
    </row>
  </sheetData>
  <mergeCells count="26">
    <mergeCell ref="G5:H5"/>
    <mergeCell ref="G2:H2"/>
    <mergeCell ref="G3:H3"/>
    <mergeCell ref="V5:W5"/>
    <mergeCell ref="T2:U2"/>
    <mergeCell ref="T3:U3"/>
    <mergeCell ref="V2:W2"/>
    <mergeCell ref="V3:W3"/>
    <mergeCell ref="T5:U5"/>
    <mergeCell ref="J5:K5"/>
    <mergeCell ref="L5:M5"/>
    <mergeCell ref="N5:O5"/>
    <mergeCell ref="P5:Q5"/>
    <mergeCell ref="R5:S5"/>
    <mergeCell ref="N2:O2"/>
    <mergeCell ref="N3:O3"/>
    <mergeCell ref="P2:Q2"/>
    <mergeCell ref="P3:Q3"/>
    <mergeCell ref="R2:S2"/>
    <mergeCell ref="R3:S3"/>
    <mergeCell ref="D2:E3"/>
    <mergeCell ref="D4:E4"/>
    <mergeCell ref="J3:K3"/>
    <mergeCell ref="J2:K2"/>
    <mergeCell ref="L3:M3"/>
    <mergeCell ref="L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9"/>
  <sheetViews>
    <sheetView showGridLines="0" workbookViewId="0">
      <pane xSplit="4" topLeftCell="E1" activePane="topRight" state="frozen"/>
      <selection pane="topRight" activeCell="E17" sqref="E17"/>
    </sheetView>
  </sheetViews>
  <sheetFormatPr defaultRowHeight="14.5" x14ac:dyDescent="0.35"/>
  <cols>
    <col min="2" max="2" width="19.6328125" customWidth="1"/>
    <col min="3" max="3" width="12.54296875" customWidth="1"/>
    <col min="4" max="4" width="3" customWidth="1"/>
    <col min="5" max="5" width="10.1796875" customWidth="1"/>
    <col min="10" max="10" width="11.81640625" customWidth="1"/>
  </cols>
  <sheetData>
    <row r="2" spans="2:22" x14ac:dyDescent="0.35">
      <c r="B2" s="74" t="s">
        <v>124</v>
      </c>
      <c r="C2" s="74"/>
      <c r="E2" s="58">
        <v>7200</v>
      </c>
      <c r="F2" s="58"/>
      <c r="G2" s="58">
        <v>7202</v>
      </c>
      <c r="H2" s="58"/>
      <c r="I2" s="58">
        <v>7203</v>
      </c>
      <c r="J2" s="58"/>
      <c r="K2" s="58">
        <v>7204</v>
      </c>
      <c r="L2" s="58"/>
      <c r="M2" s="58">
        <v>7205</v>
      </c>
      <c r="N2" s="58"/>
      <c r="O2" s="58">
        <v>7207</v>
      </c>
      <c r="P2" s="58"/>
      <c r="Q2" s="58">
        <v>7221</v>
      </c>
      <c r="R2" s="58"/>
      <c r="S2" s="58">
        <v>7222</v>
      </c>
      <c r="T2" s="58"/>
      <c r="U2" s="58">
        <v>7223</v>
      </c>
      <c r="V2" s="58"/>
    </row>
    <row r="3" spans="2:22" x14ac:dyDescent="0.35">
      <c r="B3" s="74"/>
      <c r="C3" s="74"/>
      <c r="E3" s="73" t="s">
        <v>111</v>
      </c>
      <c r="F3" s="73"/>
      <c r="G3" s="73" t="s">
        <v>112</v>
      </c>
      <c r="H3" s="73"/>
      <c r="I3" s="73" t="s">
        <v>113</v>
      </c>
      <c r="J3" s="73"/>
      <c r="K3" s="73" t="s">
        <v>114</v>
      </c>
      <c r="L3" s="73"/>
      <c r="M3" s="73" t="s">
        <v>115</v>
      </c>
      <c r="N3" s="73"/>
      <c r="O3" s="73" t="s">
        <v>116</v>
      </c>
      <c r="P3" s="73"/>
      <c r="Q3" s="73" t="s">
        <v>117</v>
      </c>
      <c r="R3" s="73"/>
      <c r="S3" s="73" t="s">
        <v>122</v>
      </c>
      <c r="T3" s="73"/>
      <c r="U3" s="73" t="s">
        <v>123</v>
      </c>
      <c r="V3" s="73"/>
    </row>
    <row r="4" spans="2:22" x14ac:dyDescent="0.35">
      <c r="B4" s="72">
        <f>F4+H4+J4+L4+N4+P4+R4+T4+V4</f>
        <v>0</v>
      </c>
      <c r="C4" s="80"/>
      <c r="E4" s="20">
        <f>SUM(E8:E175)</f>
        <v>0</v>
      </c>
      <c r="F4" s="5">
        <v>0</v>
      </c>
      <c r="G4" s="20">
        <f>SUM(G8:G175)</f>
        <v>0</v>
      </c>
      <c r="H4" s="5">
        <v>0</v>
      </c>
      <c r="I4" s="20">
        <f>SUM(I8:I175)</f>
        <v>0</v>
      </c>
      <c r="J4" s="5">
        <v>0</v>
      </c>
      <c r="K4" s="20">
        <f>SUM(K8:K175)</f>
        <v>0</v>
      </c>
      <c r="L4" s="5">
        <v>0</v>
      </c>
      <c r="M4" s="20">
        <f>SUM(M8:M175)</f>
        <v>0</v>
      </c>
      <c r="N4" s="5">
        <v>0</v>
      </c>
      <c r="O4" s="20">
        <f>SUM(O8:O175)</f>
        <v>0</v>
      </c>
      <c r="P4" s="5">
        <v>0</v>
      </c>
      <c r="Q4" s="20">
        <f>SUM(Q8:Q175)</f>
        <v>0</v>
      </c>
      <c r="R4" s="5">
        <v>0</v>
      </c>
      <c r="S4" s="20">
        <f>SUM(S8:S175)</f>
        <v>0</v>
      </c>
      <c r="T4" s="5">
        <v>0</v>
      </c>
      <c r="U4" s="20">
        <f>SUM(U8:U175)</f>
        <v>0</v>
      </c>
      <c r="V4" s="5">
        <v>0</v>
      </c>
    </row>
    <row r="5" spans="2:22" ht="30" customHeight="1" x14ac:dyDescent="0.35">
      <c r="E5" s="75" t="str">
        <f>IF(E4&gt;1,"Reduce Allocation by "&amp;ROUND(((E4-1)*100),2)&amp;"%",IF(E4&lt;1,"Increase Allocation by "&amp;ROUND(((1-E4)*100),2)&amp;"%","No Notes"))</f>
        <v>Increase Allocation by 100%</v>
      </c>
      <c r="F5" s="75"/>
      <c r="G5" s="75" t="str">
        <f t="shared" ref="G5" si="0">IF(G4&gt;1,"Reduce Allocation by "&amp;ROUND(((G4-1)*100),2)&amp;"%",IF(G4&lt;1,"Increase Allocation by "&amp;ROUND(((1-G4)*100),2)&amp;"%","No Notes"))</f>
        <v>Increase Allocation by 100%</v>
      </c>
      <c r="H5" s="75"/>
      <c r="I5" s="75" t="str">
        <f t="shared" ref="I5" si="1">IF(I4&gt;1,"Reduce Allocation by "&amp;ROUND(((I4-1)*100),2)&amp;"%",IF(I4&lt;1,"Increase Allocation by "&amp;ROUND(((1-I4)*100),2)&amp;"%","No Notes"))</f>
        <v>Increase Allocation by 100%</v>
      </c>
      <c r="J5" s="75"/>
      <c r="K5" s="75" t="str">
        <f t="shared" ref="K5" si="2">IF(K4&gt;1,"Reduce Allocation by "&amp;ROUND(((K4-1)*100),2)&amp;"%",IF(K4&lt;1,"Increase Allocation by "&amp;ROUND(((1-K4)*100),2)&amp;"%","No Notes"))</f>
        <v>Increase Allocation by 100%</v>
      </c>
      <c r="L5" s="75"/>
      <c r="M5" s="75" t="str">
        <f t="shared" ref="M5" si="3">IF(M4&gt;1,"Reduce Allocation by "&amp;ROUND(((M4-1)*100),2)&amp;"%",IF(M4&lt;1,"Increase Allocation by "&amp;ROUND(((1-M4)*100),2)&amp;"%","No Notes"))</f>
        <v>Increase Allocation by 100%</v>
      </c>
      <c r="N5" s="75"/>
      <c r="O5" s="75" t="str">
        <f t="shared" ref="O5" si="4">IF(O4&gt;1,"Reduce Allocation by "&amp;ROUND(((O4-1)*100),2)&amp;"%",IF(O4&lt;1,"Increase Allocation by "&amp;ROUND(((1-O4)*100),2)&amp;"%","No Notes"))</f>
        <v>Increase Allocation by 100%</v>
      </c>
      <c r="P5" s="75"/>
      <c r="Q5" s="75" t="str">
        <f t="shared" ref="Q5" si="5">IF(Q4&gt;1,"Reduce Allocation by "&amp;ROUND(((Q4-1)*100),2)&amp;"%",IF(Q4&lt;1,"Increase Allocation by "&amp;ROUND(((1-Q4)*100),2)&amp;"%","No Notes"))</f>
        <v>Increase Allocation by 100%</v>
      </c>
      <c r="R5" s="75"/>
      <c r="S5" s="75" t="str">
        <f t="shared" ref="S5" si="6">IF(S4&gt;1,"Reduce Allocation by "&amp;ROUND(((S4-1)*100),2)&amp;"%",IF(S4&lt;1,"Increase Allocation by "&amp;ROUND(((1-S4)*100),2)&amp;"%","No Notes"))</f>
        <v>Increase Allocation by 100%</v>
      </c>
      <c r="T5" s="75"/>
      <c r="U5" s="75" t="str">
        <f t="shared" ref="U5" si="7">IF(U4&gt;1,"Reduce Allocation by "&amp;ROUND(((U4-1)*100),2)&amp;"%",IF(U4&lt;1,"Increase Allocation by "&amp;ROUND(((1-U4)*100),2)&amp;"%","No Notes"))</f>
        <v>Increase Allocation by 100%</v>
      </c>
      <c r="V5" s="75"/>
    </row>
    <row r="6" spans="2:22" ht="11.4" customHeight="1" x14ac:dyDescent="0.35"/>
    <row r="7" spans="2:22" x14ac:dyDescent="0.35">
      <c r="B7" s="15" t="s">
        <v>96</v>
      </c>
      <c r="C7" s="15" t="s">
        <v>125</v>
      </c>
      <c r="E7" s="15" t="s">
        <v>121</v>
      </c>
      <c r="F7" s="15" t="s">
        <v>92</v>
      </c>
      <c r="G7" s="15" t="s">
        <v>121</v>
      </c>
      <c r="H7" s="15" t="s">
        <v>92</v>
      </c>
      <c r="I7" s="15" t="s">
        <v>121</v>
      </c>
      <c r="J7" s="15" t="s">
        <v>92</v>
      </c>
      <c r="K7" s="15" t="s">
        <v>121</v>
      </c>
      <c r="L7" s="15" t="s">
        <v>92</v>
      </c>
      <c r="M7" s="15" t="s">
        <v>121</v>
      </c>
      <c r="N7" s="15" t="s">
        <v>92</v>
      </c>
      <c r="O7" s="15" t="s">
        <v>121</v>
      </c>
      <c r="P7" s="15" t="s">
        <v>92</v>
      </c>
      <c r="Q7" s="15" t="s">
        <v>121</v>
      </c>
      <c r="R7" s="15" t="s">
        <v>92</v>
      </c>
      <c r="S7" s="15" t="s">
        <v>121</v>
      </c>
      <c r="T7" s="15" t="s">
        <v>92</v>
      </c>
      <c r="U7" s="15" t="s">
        <v>121</v>
      </c>
      <c r="V7" s="15" t="s">
        <v>92</v>
      </c>
    </row>
    <row r="8" spans="2:22" x14ac:dyDescent="0.35">
      <c r="B8" s="10" t="s">
        <v>97</v>
      </c>
      <c r="C8" s="21">
        <f>SUMIF(E8:ZZ8,"&gt;1",E8:ZZ8)</f>
        <v>0</v>
      </c>
      <c r="E8" s="4"/>
      <c r="F8" s="21">
        <f>E8*F$4</f>
        <v>0</v>
      </c>
      <c r="G8" s="4"/>
      <c r="H8" s="21">
        <f>G8*H$4</f>
        <v>0</v>
      </c>
      <c r="I8" s="4"/>
      <c r="J8" s="21">
        <f>I8*J$4</f>
        <v>0</v>
      </c>
      <c r="K8" s="4"/>
      <c r="L8" s="21">
        <f>K8*L$4</f>
        <v>0</v>
      </c>
      <c r="M8" s="4"/>
      <c r="N8" s="21">
        <f>M8*N$4</f>
        <v>0</v>
      </c>
      <c r="O8" s="4"/>
      <c r="P8" s="21">
        <f>O8*P$4</f>
        <v>0</v>
      </c>
      <c r="Q8" s="4"/>
      <c r="R8" s="21">
        <f>Q8*R$4</f>
        <v>0</v>
      </c>
      <c r="S8" s="4"/>
      <c r="T8" s="21">
        <f>S8*T$4</f>
        <v>0</v>
      </c>
      <c r="U8" s="4"/>
      <c r="V8" s="21">
        <f>U8*V$4</f>
        <v>0</v>
      </c>
    </row>
    <row r="9" spans="2:22" x14ac:dyDescent="0.35">
      <c r="B9" s="10" t="str">
        <f>Activities!B5&amp;":"&amp;" "&amp;Activities!C5</f>
        <v xml:space="preserve">1: </v>
      </c>
      <c r="C9" s="21">
        <f>SUMIF(E9:ZZ9,"&gt;1",E9:ZZ9)</f>
        <v>0</v>
      </c>
      <c r="E9" s="4"/>
      <c r="F9" s="21">
        <f>E9*F$4</f>
        <v>0</v>
      </c>
      <c r="G9" s="4"/>
      <c r="H9" s="21">
        <f>G9*H$4</f>
        <v>0</v>
      </c>
      <c r="I9" s="4"/>
      <c r="J9" s="21">
        <f>I9*J$4</f>
        <v>0</v>
      </c>
      <c r="K9" s="4"/>
      <c r="L9" s="21">
        <f>K9*L$4</f>
        <v>0</v>
      </c>
      <c r="M9" s="4"/>
      <c r="N9" s="21">
        <f>M9*N$4</f>
        <v>0</v>
      </c>
      <c r="O9" s="4"/>
      <c r="P9" s="21">
        <f>O9*P$4</f>
        <v>0</v>
      </c>
      <c r="Q9" s="4"/>
      <c r="R9" s="21">
        <f>Q9*R$4</f>
        <v>0</v>
      </c>
      <c r="S9" s="4"/>
      <c r="T9" s="21">
        <f>S9*T$4</f>
        <v>0</v>
      </c>
      <c r="U9" s="4"/>
      <c r="V9" s="21">
        <f>U9*V$4</f>
        <v>0</v>
      </c>
    </row>
  </sheetData>
  <mergeCells count="29">
    <mergeCell ref="Q5:R5"/>
    <mergeCell ref="S5:T5"/>
    <mergeCell ref="U5:V5"/>
    <mergeCell ref="B2:C3"/>
    <mergeCell ref="B4:C4"/>
    <mergeCell ref="E5:F5"/>
    <mergeCell ref="G5:H5"/>
    <mergeCell ref="I5:J5"/>
    <mergeCell ref="K5:L5"/>
    <mergeCell ref="M5:N5"/>
    <mergeCell ref="O5:P5"/>
    <mergeCell ref="Q2:R2"/>
    <mergeCell ref="Q3:R3"/>
    <mergeCell ref="S2:T2"/>
    <mergeCell ref="S3:T3"/>
    <mergeCell ref="U2:V2"/>
    <mergeCell ref="U3:V3"/>
    <mergeCell ref="K2:L2"/>
    <mergeCell ref="K3:L3"/>
    <mergeCell ref="M2:N2"/>
    <mergeCell ref="M3:N3"/>
    <mergeCell ref="O2:P2"/>
    <mergeCell ref="O3:P3"/>
    <mergeCell ref="E3:F3"/>
    <mergeCell ref="E2:F2"/>
    <mergeCell ref="G2:H2"/>
    <mergeCell ref="G3:H3"/>
    <mergeCell ref="I2:J2"/>
    <mergeCell ref="I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5"/>
  <sheetViews>
    <sheetView showGridLines="0" workbookViewId="0">
      <selection activeCell="D5" sqref="D5"/>
    </sheetView>
  </sheetViews>
  <sheetFormatPr defaultRowHeight="14.5" x14ac:dyDescent="0.35"/>
  <cols>
    <col min="2" max="2" width="27.54296875" customWidth="1"/>
    <col min="3" max="3" width="2.6328125" customWidth="1"/>
    <col min="4" max="4" width="25.90625" customWidth="1"/>
    <col min="6" max="6" width="9.90625" customWidth="1"/>
    <col min="7" max="7" width="17.1796875" customWidth="1"/>
    <col min="8" max="8" width="18.08984375" customWidth="1"/>
    <col min="10" max="10" width="57.81640625" customWidth="1"/>
  </cols>
  <sheetData>
    <row r="2" spans="2:10" x14ac:dyDescent="0.35">
      <c r="E2" s="58" t="s">
        <v>152</v>
      </c>
      <c r="F2" s="58"/>
      <c r="G2" s="58"/>
      <c r="H2" s="58"/>
    </row>
    <row r="3" spans="2:10" x14ac:dyDescent="0.35">
      <c r="E3" s="73" t="s">
        <v>59</v>
      </c>
      <c r="F3" s="73" t="s">
        <v>151</v>
      </c>
      <c r="G3" s="73"/>
      <c r="H3" s="73"/>
    </row>
    <row r="4" spans="2:10" x14ac:dyDescent="0.35">
      <c r="B4" s="11" t="s">
        <v>96</v>
      </c>
      <c r="D4" s="11" t="s">
        <v>147</v>
      </c>
      <c r="E4" s="73"/>
      <c r="F4" s="15" t="s">
        <v>148</v>
      </c>
      <c r="G4" s="15" t="s">
        <v>149</v>
      </c>
      <c r="H4" s="15" t="s">
        <v>150</v>
      </c>
      <c r="J4" s="15" t="s">
        <v>77</v>
      </c>
    </row>
    <row r="5" spans="2:10" x14ac:dyDescent="0.35">
      <c r="B5" s="10" t="str">
        <f>Activities!G5</f>
        <v xml:space="preserve">1: - </v>
      </c>
      <c r="D5" s="1"/>
      <c r="E5" s="21">
        <f>IFERROR(AVERAGEIFS('Market Analysis'!$E$3:$E$479,'Market Analysis'!$B$3:$B$479,'Market Summary'!B5,'Market Analysis'!$D$3:$D$479,"Industry"),0)</f>
        <v>0</v>
      </c>
      <c r="F5" s="21">
        <f>IFERROR(AVERAGEIFS('Market Analysis'!$E$3:$E$479,'Market Analysis'!$B$3:$B$479,'Market Summary'!B5,'Market Analysis'!$D$3:$D$479,"University Internal Rate"),0)</f>
        <v>0</v>
      </c>
      <c r="G5" s="21">
        <f>IFERROR(AVERAGEIFS('Market Analysis'!$E$3:$E$479,'Market Analysis'!$B$3:$B$479,'Market Summary'!B5,'Market Analysis'!$D$3:$D$479,"University External Rate: Non-Profit"),0)</f>
        <v>0</v>
      </c>
      <c r="H5" s="21">
        <f>IFERROR(AVERAGEIFS('Market Analysis'!$E$3:$E$479,'Market Analysis'!$B$3:$B$479,'Market Summary'!B5,'Market Analysis'!$D$3:$D$479,"University External Rate: For-Profit"),0)</f>
        <v>0</v>
      </c>
      <c r="J5" s="10" t="str">
        <f>IF(AND(IFERROR(VLOOKUP(B5,'Market Analysis'!$B$3:$B$479,1,FALSE),0)&lt;&gt;0,D5="No"),"Analysis Completed for this Activity on the Market Analysis Tab - Change Comparable Services to Yes",IF(AND(IFERROR(VLOOKUP(B5,'Market Analysis'!$B$3:$B$479,1,FALSE),0)=0,D5="Yes"),"Add Market Analysis Values for this Activity in the Market Analysis Tab",IF(D5="","Please Complete Comparable Services/Market Analysis Section","No Notes")))</f>
        <v>Please Complete Comparable Services/Market Analysis Section</v>
      </c>
    </row>
  </sheetData>
  <mergeCells count="3">
    <mergeCell ref="F3:H3"/>
    <mergeCell ref="E2:H2"/>
    <mergeCell ref="E3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Rates!$B$29:$B$30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Center Information</vt:lpstr>
      <vt:lpstr>Activities</vt:lpstr>
      <vt:lpstr>Personnel</vt:lpstr>
      <vt:lpstr>Personnel Costs</vt:lpstr>
      <vt:lpstr>Capital Equipment</vt:lpstr>
      <vt:lpstr>Cap_EQ Costs</vt:lpstr>
      <vt:lpstr>Variable Costs</vt:lpstr>
      <vt:lpstr>Fixed Costs</vt:lpstr>
      <vt:lpstr>Market Summary</vt:lpstr>
      <vt:lpstr>Market Analysis</vt:lpstr>
      <vt:lpstr>Rate Proposal</vt:lpstr>
      <vt:lpstr>Cost Summary</vt:lpstr>
      <vt:lpstr>Budget Summary</vt:lpstr>
      <vt:lpstr>Prior Year Summary</vt:lpstr>
      <vt:lpstr>Rates</vt:lpstr>
    </vt:vector>
  </TitlesOfParts>
  <Company>Arizona State University OKED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Madril</dc:creator>
  <cp:lastModifiedBy>Jenny Dunaway</cp:lastModifiedBy>
  <dcterms:created xsi:type="dcterms:W3CDTF">2019-06-28T17:35:45Z</dcterms:created>
  <dcterms:modified xsi:type="dcterms:W3CDTF">2023-11-05T15:53:38Z</dcterms:modified>
</cp:coreProperties>
</file>